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jpeg" ContentType="image/jpeg"/>
  <Default Extension="rels" ContentType="application/vnd.openxmlformats-package.relationships+xml"/>
  <Default Extension="xml" ContentType="application/xml"/>
  <Default Extension="vsdx" ContentType="application/vnd.ms-visio.drawing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comments7.xml" ContentType="application/vnd.openxmlformats-officedocument.spreadsheetml.comments+xml"/>
  <Override PartName="/xl/drawings/drawing9.xml" ContentType="application/vnd.openxmlformats-officedocument.drawing+xml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comments8.xml" ContentType="application/vnd.openxmlformats-officedocument.spreadsheetml.comments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microsoft.com/office/2007/relationships/ui/extensibility" Target="/customUI/customUI14.xml" Id="Ra0ef611a0e1547d8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ЭтаКнига" defaultThemeVersion="124226"/>
  <bookViews>
    <workbookView xWindow="240" yWindow="135" windowWidth="20115" windowHeight="7935" tabRatio="674"/>
  </bookViews>
  <sheets>
    <sheet name="Содержание" sheetId="19" r:id="rId1"/>
    <sheet name="РС междуфазное" sheetId="15" r:id="rId2"/>
    <sheet name="РС при КЗ на землю" sheetId="20" r:id="rId3"/>
    <sheet name="Ненаправленное РС" sheetId="22" r:id="rId4"/>
    <sheet name="БК dZ_dt" sheetId="23" r:id="rId5"/>
    <sheet name="ИПФ, ИПФК" sheetId="12" r:id="rId6"/>
    <sheet name="ООВП" sheetId="27" r:id="rId7"/>
    <sheet name="Теория РС при КЗ на землю" sheetId="25" r:id="rId8"/>
    <sheet name="Теория ИПФ, ИПФК" sheetId="26" r:id="rId9"/>
    <sheet name="Пасхалка" sheetId="28" state="hidden" r:id="rId10"/>
  </sheets>
  <calcPr calcId="145621"/>
</workbook>
</file>

<file path=xl/calcChain.xml><?xml version="1.0" encoding="utf-8"?>
<calcChain xmlns="http://schemas.openxmlformats.org/spreadsheetml/2006/main">
  <c r="E42" i="20" l="1"/>
  <c r="AE34" i="20" s="1"/>
  <c r="E63" i="20" l="1"/>
  <c r="E58" i="20"/>
  <c r="F42" i="20"/>
  <c r="AD68" i="15" l="1"/>
  <c r="AD70" i="15" s="1"/>
  <c r="AE36" i="20" l="1"/>
  <c r="E64" i="20"/>
  <c r="AE37" i="20" s="1"/>
  <c r="AD69" i="15"/>
  <c r="F24" i="15"/>
  <c r="F27" i="15"/>
  <c r="K53" i="20" l="1"/>
  <c r="W35" i="15"/>
  <c r="E34" i="15"/>
  <c r="E52" i="15" s="1"/>
  <c r="F33" i="15"/>
  <c r="F32" i="15"/>
  <c r="F34" i="15" l="1"/>
  <c r="E53" i="15"/>
  <c r="AC34" i="15"/>
  <c r="F31" i="27"/>
  <c r="F30" i="27"/>
  <c r="AC35" i="15" l="1"/>
  <c r="F47" i="12"/>
  <c r="F49" i="20"/>
  <c r="F41" i="15"/>
  <c r="F33" i="22"/>
  <c r="E55" i="20"/>
  <c r="AA33" i="20" s="1"/>
  <c r="J87" i="12"/>
  <c r="I83" i="12"/>
  <c r="I89" i="12" s="1"/>
  <c r="K96" i="12"/>
  <c r="K93" i="12"/>
  <c r="J93" i="12"/>
  <c r="K84" i="12"/>
  <c r="J84" i="12"/>
  <c r="K81" i="12"/>
  <c r="J81" i="12"/>
  <c r="I67" i="23"/>
  <c r="I73" i="23" s="1"/>
  <c r="J71" i="23"/>
  <c r="J68" i="23"/>
  <c r="J65" i="23"/>
  <c r="J87" i="22"/>
  <c r="J84" i="22"/>
  <c r="J81" i="22"/>
  <c r="I80" i="22"/>
  <c r="I98" i="22" s="1"/>
  <c r="J78" i="22"/>
  <c r="I101" i="20"/>
  <c r="I113" i="20" s="1"/>
  <c r="J128" i="20"/>
  <c r="J111" i="20"/>
  <c r="J108" i="20"/>
  <c r="J105" i="20"/>
  <c r="J102" i="20"/>
  <c r="J99" i="20"/>
  <c r="I92" i="15"/>
  <c r="I101" i="15" s="1"/>
  <c r="J119" i="15"/>
  <c r="J102" i="15"/>
  <c r="J99" i="15"/>
  <c r="J96" i="15"/>
  <c r="J93" i="15"/>
  <c r="J90" i="15"/>
  <c r="E38" i="12"/>
  <c r="F37" i="12"/>
  <c r="F36" i="12"/>
  <c r="E38" i="20"/>
  <c r="F37" i="20"/>
  <c r="F36" i="20"/>
  <c r="F26" i="12"/>
  <c r="E53" i="12"/>
  <c r="L34" i="27"/>
  <c r="L48" i="27"/>
  <c r="L49" i="27"/>
  <c r="S42" i="20"/>
  <c r="S43" i="20"/>
  <c r="S44" i="20"/>
  <c r="S45" i="20"/>
  <c r="S46" i="20"/>
  <c r="S50" i="20"/>
  <c r="S51" i="20"/>
  <c r="S55" i="20"/>
  <c r="S56" i="20"/>
  <c r="S60" i="20"/>
  <c r="BA26" i="27"/>
  <c r="BA25" i="27"/>
  <c r="BA24" i="27"/>
  <c r="BA23" i="27"/>
  <c r="BA22" i="27"/>
  <c r="BA21" i="27"/>
  <c r="BA20" i="27"/>
  <c r="BA19" i="27"/>
  <c r="BA18" i="27"/>
  <c r="J78" i="27"/>
  <c r="J71" i="27"/>
  <c r="J77" i="27"/>
  <c r="J64" i="27"/>
  <c r="J76" i="27"/>
  <c r="J57" i="27"/>
  <c r="R49" i="27"/>
  <c r="R48" i="27"/>
  <c r="R42" i="27"/>
  <c r="R43" i="27"/>
  <c r="R44" i="27"/>
  <c r="R41" i="27"/>
  <c r="T39" i="27"/>
  <c r="T38" i="27"/>
  <c r="T34" i="27"/>
  <c r="T33" i="27"/>
  <c r="N85" i="27"/>
  <c r="Y36" i="27"/>
  <c r="J84" i="27" s="1"/>
  <c r="X36" i="27"/>
  <c r="J83" i="27" s="1"/>
  <c r="O49" i="27"/>
  <c r="M78" i="27" s="1"/>
  <c r="L39" i="27"/>
  <c r="O39" i="27"/>
  <c r="M66" i="27" s="1"/>
  <c r="L33" i="27"/>
  <c r="O34" i="27"/>
  <c r="M76" i="27" s="1"/>
  <c r="O33" i="27"/>
  <c r="K59" i="27" s="1"/>
  <c r="L59" i="27" s="1"/>
  <c r="AB23" i="27"/>
  <c r="AB22" i="27"/>
  <c r="AA30" i="27"/>
  <c r="Z30" i="27"/>
  <c r="Z31" i="27" s="1"/>
  <c r="AA31" i="27" s="1"/>
  <c r="Y31" i="27"/>
  <c r="X31" i="27"/>
  <c r="O48" i="27"/>
  <c r="K78" i="27" s="1"/>
  <c r="O38" i="27"/>
  <c r="K65" i="27" s="1"/>
  <c r="L38" i="27"/>
  <c r="F28" i="27"/>
  <c r="F21" i="27"/>
  <c r="F20" i="27"/>
  <c r="F19" i="27"/>
  <c r="F18" i="27"/>
  <c r="AL18" i="27"/>
  <c r="AL19" i="27" s="1"/>
  <c r="AL20" i="27" s="1"/>
  <c r="AL21" i="27" s="1"/>
  <c r="AL22" i="27" s="1"/>
  <c r="AL23" i="27" s="1"/>
  <c r="AL24" i="27" s="1"/>
  <c r="AL25" i="27" s="1"/>
  <c r="AL26" i="27" s="1"/>
  <c r="AK18" i="27"/>
  <c r="AR43" i="27" s="1"/>
  <c r="AI18" i="27"/>
  <c r="AS18" i="27" s="1"/>
  <c r="E44" i="27"/>
  <c r="AA35" i="27" s="1"/>
  <c r="E36" i="27" s="1"/>
  <c r="F36" i="27" s="1"/>
  <c r="AJ18" i="27"/>
  <c r="AJ19" i="27" s="1"/>
  <c r="AJ20" i="27" s="1"/>
  <c r="AJ21" i="27" s="1"/>
  <c r="AJ22" i="27" s="1"/>
  <c r="AJ23" i="27" s="1"/>
  <c r="T22" i="23"/>
  <c r="M39" i="23"/>
  <c r="M38" i="23"/>
  <c r="M34" i="23"/>
  <c r="M33" i="23"/>
  <c r="AA73" i="12"/>
  <c r="AA75" i="12" s="1"/>
  <c r="AC26" i="20"/>
  <c r="AC28" i="12"/>
  <c r="X35" i="12" s="1"/>
  <c r="AQ28" i="12"/>
  <c r="AP28" i="12"/>
  <c r="W64" i="12" s="1"/>
  <c r="W73" i="12"/>
  <c r="W72" i="12"/>
  <c r="W76" i="12"/>
  <c r="W75" i="12"/>
  <c r="AC64" i="12" s="1"/>
  <c r="AB28" i="12"/>
  <c r="W35" i="12" s="1"/>
  <c r="W46" i="12"/>
  <c r="W47" i="12"/>
  <c r="O49" i="12"/>
  <c r="O48" i="12"/>
  <c r="O47" i="12"/>
  <c r="O43" i="12"/>
  <c r="O41" i="12"/>
  <c r="O40" i="12"/>
  <c r="O38" i="23"/>
  <c r="O33" i="23"/>
  <c r="O39" i="23"/>
  <c r="O34" i="23"/>
  <c r="O45" i="22"/>
  <c r="O40" i="22"/>
  <c r="O35" i="22"/>
  <c r="O34" i="22"/>
  <c r="O33" i="22"/>
  <c r="O60" i="20"/>
  <c r="O56" i="20"/>
  <c r="O55" i="20"/>
  <c r="O43" i="20"/>
  <c r="O50" i="20"/>
  <c r="O42" i="20"/>
  <c r="O33" i="15"/>
  <c r="AB26" i="20"/>
  <c r="E47" i="15"/>
  <c r="Z33" i="15" s="1"/>
  <c r="E39" i="22"/>
  <c r="Z32" i="22" s="1"/>
  <c r="O51" i="15"/>
  <c r="O47" i="15"/>
  <c r="O46" i="15"/>
  <c r="O41" i="15"/>
  <c r="O34" i="15"/>
  <c r="Q41" i="23"/>
  <c r="Q38" i="23"/>
  <c r="Q33" i="23"/>
  <c r="Q42" i="23"/>
  <c r="Q39" i="23"/>
  <c r="Q34" i="23"/>
  <c r="Z26" i="23"/>
  <c r="Z23" i="23"/>
  <c r="W23" i="23"/>
  <c r="F29" i="23"/>
  <c r="F28" i="23"/>
  <c r="E31" i="23"/>
  <c r="V36" i="23"/>
  <c r="V35" i="23"/>
  <c r="Z55" i="23" s="1"/>
  <c r="V34" i="23"/>
  <c r="Z49" i="23" s="1"/>
  <c r="V33" i="23"/>
  <c r="W49" i="23" s="1"/>
  <c r="AB56" i="23" s="1"/>
  <c r="Z56" i="23"/>
  <c r="U36" i="23"/>
  <c r="U56" i="23"/>
  <c r="V37" i="23"/>
  <c r="U37" i="23"/>
  <c r="U35" i="23"/>
  <c r="U34" i="23"/>
  <c r="Y42" i="23" s="1"/>
  <c r="U33" i="23"/>
  <c r="W42" i="23" s="1"/>
  <c r="W56" i="23" s="1"/>
  <c r="F33" i="23"/>
  <c r="K31" i="23"/>
  <c r="F21" i="23"/>
  <c r="AA23" i="23"/>
  <c r="X23" i="23"/>
  <c r="V23" i="23"/>
  <c r="F19" i="23"/>
  <c r="V22" i="23"/>
  <c r="F18" i="23"/>
  <c r="M33" i="22"/>
  <c r="E42" i="22"/>
  <c r="E43" i="22" s="1"/>
  <c r="K43" i="22" s="1"/>
  <c r="AA37" i="22"/>
  <c r="AA36" i="22"/>
  <c r="AA35" i="22"/>
  <c r="AA34" i="22"/>
  <c r="Z34" i="22"/>
  <c r="S33" i="22"/>
  <c r="W56" i="22"/>
  <c r="S46" i="22"/>
  <c r="S45" i="22"/>
  <c r="W33" i="22"/>
  <c r="W32" i="22"/>
  <c r="E46" i="22"/>
  <c r="AH56" i="22" s="1"/>
  <c r="E45" i="22"/>
  <c r="S41" i="22"/>
  <c r="F35" i="22"/>
  <c r="S40" i="22"/>
  <c r="S36" i="22"/>
  <c r="S35" i="22"/>
  <c r="M35" i="22"/>
  <c r="S34" i="22"/>
  <c r="M34" i="22"/>
  <c r="Z37" i="22"/>
  <c r="Z36" i="22"/>
  <c r="K31" i="22"/>
  <c r="F37" i="22"/>
  <c r="Z35" i="22"/>
  <c r="W35" i="22"/>
  <c r="W34" i="22"/>
  <c r="F26" i="22"/>
  <c r="AD32" i="22"/>
  <c r="F25" i="22"/>
  <c r="F23" i="22"/>
  <c r="AB26" i="22"/>
  <c r="F21" i="22"/>
  <c r="AC23" i="22"/>
  <c r="AB23" i="22"/>
  <c r="Z23" i="22"/>
  <c r="Y23" i="22"/>
  <c r="X23" i="22"/>
  <c r="F19" i="22"/>
  <c r="X22" i="22"/>
  <c r="V22" i="22"/>
  <c r="F18" i="22"/>
  <c r="AA35" i="20"/>
  <c r="W38" i="20"/>
  <c r="W37" i="20"/>
  <c r="W36" i="20"/>
  <c r="W35" i="20"/>
  <c r="X23" i="20"/>
  <c r="X22" i="20"/>
  <c r="S52" i="12"/>
  <c r="S51" i="12"/>
  <c r="S50" i="12"/>
  <c r="S49" i="12"/>
  <c r="S48" i="12"/>
  <c r="S47" i="12"/>
  <c r="S44" i="12"/>
  <c r="S43" i="12"/>
  <c r="S42" i="12"/>
  <c r="S41" i="12"/>
  <c r="S40" i="12"/>
  <c r="F49" i="12"/>
  <c r="F40" i="12"/>
  <c r="F39" i="12"/>
  <c r="F35" i="12"/>
  <c r="F34" i="12"/>
  <c r="F33" i="12"/>
  <c r="F32" i="12"/>
  <c r="F29" i="12"/>
  <c r="F27" i="12"/>
  <c r="F25" i="12"/>
  <c r="AL26" i="12"/>
  <c r="AL25" i="12"/>
  <c r="X26" i="12"/>
  <c r="X25" i="12"/>
  <c r="F24" i="12"/>
  <c r="F20" i="12"/>
  <c r="F21" i="12"/>
  <c r="F19" i="12"/>
  <c r="W77" i="12"/>
  <c r="AB64" i="12" s="1"/>
  <c r="AB65" i="12" s="1"/>
  <c r="M41" i="12"/>
  <c r="M43" i="12"/>
  <c r="AA44" i="12"/>
  <c r="AA46" i="12" s="1"/>
  <c r="W44" i="12"/>
  <c r="W45" i="12"/>
  <c r="W43" i="12"/>
  <c r="F45" i="15"/>
  <c r="F29" i="15"/>
  <c r="F53" i="20"/>
  <c r="F51" i="20"/>
  <c r="F40" i="20"/>
  <c r="F39" i="20"/>
  <c r="F33" i="20"/>
  <c r="F34" i="20"/>
  <c r="F35" i="20"/>
  <c r="F32" i="20"/>
  <c r="F29" i="20"/>
  <c r="F27" i="20"/>
  <c r="F26" i="20"/>
  <c r="F22" i="20"/>
  <c r="F23" i="20"/>
  <c r="F24" i="20"/>
  <c r="F21" i="20"/>
  <c r="F19" i="20"/>
  <c r="F18" i="20"/>
  <c r="AB26" i="15"/>
  <c r="AE26" i="20"/>
  <c r="AS28" i="12"/>
  <c r="AE28" i="12"/>
  <c r="V22" i="15"/>
  <c r="S51" i="15"/>
  <c r="S47" i="15"/>
  <c r="S46" i="15"/>
  <c r="S42" i="15"/>
  <c r="S41" i="15"/>
  <c r="S34" i="15"/>
  <c r="S35" i="15"/>
  <c r="S36" i="15"/>
  <c r="S37" i="15"/>
  <c r="S33" i="15"/>
  <c r="X23" i="15"/>
  <c r="X22" i="15"/>
  <c r="F26" i="15"/>
  <c r="F22" i="15"/>
  <c r="F23" i="15"/>
  <c r="F21" i="15"/>
  <c r="F19" i="15"/>
  <c r="F18" i="15"/>
  <c r="K40" i="20"/>
  <c r="AE23" i="20"/>
  <c r="V22" i="20"/>
  <c r="E61" i="20"/>
  <c r="Z26" i="20" s="1"/>
  <c r="E60" i="20"/>
  <c r="M60" i="20"/>
  <c r="L58" i="20"/>
  <c r="I130" i="20" s="1"/>
  <c r="M56" i="20"/>
  <c r="M55" i="20"/>
  <c r="AG49" i="20"/>
  <c r="W49" i="20"/>
  <c r="AG48" i="20"/>
  <c r="W48" i="20"/>
  <c r="E50" i="20"/>
  <c r="M43" i="20"/>
  <c r="M42" i="20"/>
  <c r="AA38" i="20"/>
  <c r="AA37" i="20"/>
  <c r="AA36" i="20"/>
  <c r="W34" i="20"/>
  <c r="AE33" i="20"/>
  <c r="W33" i="20"/>
  <c r="AJ25" i="12"/>
  <c r="V25" i="12"/>
  <c r="K38" i="12"/>
  <c r="AB23" i="15"/>
  <c r="AC23" i="15"/>
  <c r="M48" i="12"/>
  <c r="M49" i="12"/>
  <c r="M47" i="12"/>
  <c r="M40" i="12"/>
  <c r="M33" i="15"/>
  <c r="L49" i="15"/>
  <c r="I121" i="15" s="1"/>
  <c r="M51" i="15"/>
  <c r="Y23" i="15"/>
  <c r="Z23" i="15"/>
  <c r="K31" i="15"/>
  <c r="Z35" i="15"/>
  <c r="M34" i="15"/>
  <c r="AC33" i="15"/>
  <c r="E50" i="15"/>
  <c r="Z37" i="15"/>
  <c r="Z36" i="15"/>
  <c r="Z38" i="15"/>
  <c r="W38" i="15"/>
  <c r="W34" i="15"/>
  <c r="W33" i="15"/>
  <c r="W37" i="15"/>
  <c r="W36" i="15"/>
  <c r="AG49" i="15"/>
  <c r="AG48" i="15"/>
  <c r="W49" i="15"/>
  <c r="W88" i="15" s="1"/>
  <c r="W87" i="15" s="1"/>
  <c r="W48" i="15"/>
  <c r="E54" i="12"/>
  <c r="E52" i="12"/>
  <c r="AC77" i="12" s="1"/>
  <c r="E51" i="12"/>
  <c r="Y28" i="12" s="1"/>
  <c r="AD65" i="12"/>
  <c r="AG36" i="12"/>
  <c r="AA36" i="12"/>
  <c r="AF64" i="12"/>
  <c r="AF36" i="12"/>
  <c r="AC65" i="12"/>
  <c r="AD36" i="12"/>
  <c r="AC36" i="12"/>
  <c r="AB36" i="12"/>
  <c r="U49" i="23"/>
  <c r="AA49" i="23" s="1"/>
  <c r="AR44" i="27"/>
  <c r="K77" i="27"/>
  <c r="L77" i="27" s="1"/>
  <c r="L47" i="12"/>
  <c r="AA65" i="12"/>
  <c r="W74" i="12"/>
  <c r="K87" i="12"/>
  <c r="AE25" i="12"/>
  <c r="AF25" i="12"/>
  <c r="AS25" i="12"/>
  <c r="E40" i="22"/>
  <c r="M40" i="22" s="1"/>
  <c r="AK43" i="22"/>
  <c r="AH48" i="22" s="1"/>
  <c r="K71" i="27" l="1"/>
  <c r="AD66" i="20"/>
  <c r="AK19" i="27"/>
  <c r="AK20" i="27" s="1"/>
  <c r="AK21" i="27" s="1"/>
  <c r="AK22" i="27" s="1"/>
  <c r="AK23" i="27" s="1"/>
  <c r="AB35" i="12"/>
  <c r="AB38" i="12" s="1"/>
  <c r="AC35" i="12"/>
  <c r="AC37" i="12" s="1"/>
  <c r="AA33" i="22"/>
  <c r="M46" i="22"/>
  <c r="M45" i="22"/>
  <c r="AA32" i="22"/>
  <c r="E56" i="20"/>
  <c r="M50" i="20" s="1"/>
  <c r="AD42" i="20"/>
  <c r="AC48" i="20" s="1"/>
  <c r="AE43" i="20"/>
  <c r="AE42" i="20" s="1"/>
  <c r="AE44" i="20" s="1"/>
  <c r="AF80" i="12"/>
  <c r="X35" i="27"/>
  <c r="AB42" i="22"/>
  <c r="AB43" i="22" s="1"/>
  <c r="AM18" i="27"/>
  <c r="AM19" i="27" s="1"/>
  <c r="AR19" i="27" s="1"/>
  <c r="BB19" i="27" s="1"/>
  <c r="AH57" i="22"/>
  <c r="AH58" i="22"/>
  <c r="F31" i="23"/>
  <c r="AC33" i="23"/>
  <c r="AC34" i="23" s="1"/>
  <c r="X75" i="15"/>
  <c r="X76" i="15" s="1"/>
  <c r="W72" i="15"/>
  <c r="Z68" i="15"/>
  <c r="W68" i="15"/>
  <c r="W67" i="15" s="1"/>
  <c r="AA67" i="15" s="1"/>
  <c r="AF51" i="12"/>
  <c r="Y26" i="22"/>
  <c r="AG32" i="22" s="1"/>
  <c r="AG35" i="22" s="1"/>
  <c r="AF65" i="12"/>
  <c r="AF66" i="12" s="1"/>
  <c r="K90" i="12"/>
  <c r="AC56" i="22"/>
  <c r="X79" i="22"/>
  <c r="X80" i="22" s="1"/>
  <c r="Z79" i="22"/>
  <c r="Z80" i="22" s="1"/>
  <c r="W79" i="22"/>
  <c r="W80" i="22" s="1"/>
  <c r="Y79" i="22"/>
  <c r="Y80" i="22" s="1"/>
  <c r="I89" i="22"/>
  <c r="AE43" i="22"/>
  <c r="AC48" i="22" s="1"/>
  <c r="X72" i="22"/>
  <c r="X71" i="22" s="1"/>
  <c r="Y68" i="22"/>
  <c r="Y67" i="22" s="1"/>
  <c r="W72" i="22"/>
  <c r="W71" i="22" s="1"/>
  <c r="W68" i="22"/>
  <c r="X68" i="22"/>
  <c r="X67" i="22" s="1"/>
  <c r="Z68" i="22"/>
  <c r="Z67" i="22" s="1"/>
  <c r="AA42" i="22"/>
  <c r="AG42" i="22" s="1"/>
  <c r="W83" i="22"/>
  <c r="W84" i="22" s="1"/>
  <c r="X83" i="22"/>
  <c r="X84" i="22" s="1"/>
  <c r="Z83" i="22"/>
  <c r="Z84" i="22" s="1"/>
  <c r="Y83" i="22"/>
  <c r="Y84" i="22" s="1"/>
  <c r="Y42" i="22"/>
  <c r="I95" i="22"/>
  <c r="Z42" i="22"/>
  <c r="W43" i="22"/>
  <c r="X76" i="22"/>
  <c r="W76" i="22"/>
  <c r="I83" i="22"/>
  <c r="Y26" i="20"/>
  <c r="AH33" i="20" s="1"/>
  <c r="AH36" i="20" s="1"/>
  <c r="AA47" i="22"/>
  <c r="AA47" i="12"/>
  <c r="X42" i="22"/>
  <c r="X43" i="22" s="1"/>
  <c r="AB35" i="20"/>
  <c r="I122" i="20"/>
  <c r="Y42" i="20"/>
  <c r="Y43" i="20" s="1"/>
  <c r="Y44" i="20" s="1"/>
  <c r="AB23" i="20"/>
  <c r="I104" i="20"/>
  <c r="I107" i="20"/>
  <c r="I116" i="20"/>
  <c r="X34" i="20"/>
  <c r="I110" i="20"/>
  <c r="I119" i="20"/>
  <c r="X42" i="20"/>
  <c r="X43" i="20" s="1"/>
  <c r="AG51" i="20"/>
  <c r="Z42" i="20"/>
  <c r="AB43" i="20" s="1"/>
  <c r="AG50" i="20"/>
  <c r="AC42" i="20"/>
  <c r="AB42" i="20"/>
  <c r="AA42" i="20"/>
  <c r="AA43" i="20" s="1"/>
  <c r="AA44" i="20" s="1"/>
  <c r="M41" i="22"/>
  <c r="W42" i="22"/>
  <c r="AL42" i="22" s="1"/>
  <c r="AK42" i="22"/>
  <c r="AC23" i="20"/>
  <c r="AF23" i="20" s="1"/>
  <c r="Y30" i="27"/>
  <c r="X43" i="12"/>
  <c r="AG42" i="20"/>
  <c r="AF42" i="22"/>
  <c r="AF43" i="22" s="1"/>
  <c r="AA48" i="22"/>
  <c r="AA50" i="22" s="1"/>
  <c r="AI44" i="20"/>
  <c r="AI45" i="20"/>
  <c r="Z35" i="27"/>
  <c r="L43" i="27" s="1"/>
  <c r="Y35" i="27"/>
  <c r="O42" i="27" s="1"/>
  <c r="M59" i="27"/>
  <c r="AD43" i="15"/>
  <c r="AD44" i="15" s="1"/>
  <c r="AC49" i="15" s="1"/>
  <c r="AF43" i="20"/>
  <c r="AF42" i="20" s="1"/>
  <c r="AJ42" i="22"/>
  <c r="AJ43" i="22" s="1"/>
  <c r="AH42" i="20"/>
  <c r="AD43" i="22"/>
  <c r="AB57" i="22" s="1"/>
  <c r="X33" i="20"/>
  <c r="AC42" i="22"/>
  <c r="I92" i="22"/>
  <c r="I101" i="22"/>
  <c r="AD42" i="22"/>
  <c r="AE42" i="22" s="1"/>
  <c r="AC47" i="22" s="1"/>
  <c r="Z26" i="22"/>
  <c r="AH32" i="22" s="1"/>
  <c r="AH33" i="22" s="1"/>
  <c r="I86" i="22"/>
  <c r="K66" i="27"/>
  <c r="N66" i="27" s="1"/>
  <c r="K64" i="27"/>
  <c r="L64" i="27" s="1"/>
  <c r="AC36" i="15"/>
  <c r="M47" i="15"/>
  <c r="M46" i="15"/>
  <c r="AF44" i="15"/>
  <c r="AF43" i="15" s="1"/>
  <c r="AE44" i="15"/>
  <c r="W75" i="15"/>
  <c r="W76" i="15" s="1"/>
  <c r="AG43" i="15"/>
  <c r="AG44" i="15" s="1"/>
  <c r="K44" i="15"/>
  <c r="I113" i="15"/>
  <c r="AG52" i="15"/>
  <c r="E48" i="15"/>
  <c r="M42" i="15" s="1"/>
  <c r="X88" i="15"/>
  <c r="X87" i="15" s="1"/>
  <c r="W92" i="15"/>
  <c r="W52" i="15"/>
  <c r="W51" i="15"/>
  <c r="F43" i="15"/>
  <c r="AC43" i="15"/>
  <c r="AC44" i="15" s="1"/>
  <c r="I107" i="15"/>
  <c r="X43" i="15"/>
  <c r="X44" i="15" s="1"/>
  <c r="I110" i="15"/>
  <c r="I98" i="15"/>
  <c r="Y26" i="15"/>
  <c r="AF33" i="15" s="1"/>
  <c r="AF36" i="15" s="1"/>
  <c r="Y43" i="15"/>
  <c r="Y44" i="15" s="1"/>
  <c r="AH43" i="15"/>
  <c r="AH44" i="15" s="1"/>
  <c r="I104" i="15"/>
  <c r="I95" i="15"/>
  <c r="Z83" i="15"/>
  <c r="Z84" i="15" s="1"/>
  <c r="Y83" i="15"/>
  <c r="Y84" i="15" s="1"/>
  <c r="X83" i="15"/>
  <c r="X84" i="15" s="1"/>
  <c r="W83" i="15"/>
  <c r="W84" i="15" s="1"/>
  <c r="AG51" i="15"/>
  <c r="X80" i="15"/>
  <c r="X79" i="15" s="1"/>
  <c r="W80" i="15"/>
  <c r="W79" i="15" s="1"/>
  <c r="X72" i="15"/>
  <c r="X71" i="15" s="1"/>
  <c r="X68" i="15"/>
  <c r="X67" i="15" s="1"/>
  <c r="W71" i="15"/>
  <c r="Y68" i="15"/>
  <c r="Y67" i="15" s="1"/>
  <c r="Z67" i="15"/>
  <c r="AA43" i="15"/>
  <c r="AA44" i="15" s="1"/>
  <c r="Z43" i="15"/>
  <c r="AB43" i="15"/>
  <c r="Z26" i="15"/>
  <c r="AG33" i="15" s="1"/>
  <c r="AG34" i="15" s="1"/>
  <c r="AA43" i="22"/>
  <c r="Z48" i="22" s="1"/>
  <c r="AI42" i="22"/>
  <c r="K38" i="22"/>
  <c r="Z33" i="22"/>
  <c r="AI33" i="20"/>
  <c r="L41" i="27"/>
  <c r="M41" i="27" s="1"/>
  <c r="E33" i="27"/>
  <c r="F33" i="27" s="1"/>
  <c r="L71" i="27"/>
  <c r="N59" i="27"/>
  <c r="O59" i="27" s="1"/>
  <c r="P59" i="27" s="1"/>
  <c r="Y39" i="27"/>
  <c r="X26" i="27" s="1"/>
  <c r="AB25" i="12"/>
  <c r="AA67" i="12"/>
  <c r="AD35" i="12"/>
  <c r="AD38" i="12" s="1"/>
  <c r="X74" i="12"/>
  <c r="AA71" i="12" s="1"/>
  <c r="AA37" i="12"/>
  <c r="I95" i="12"/>
  <c r="I98" i="12"/>
  <c r="I86" i="12"/>
  <c r="X72" i="12"/>
  <c r="I92" i="12"/>
  <c r="AF35" i="12"/>
  <c r="AF37" i="12" s="1"/>
  <c r="AS43" i="27"/>
  <c r="AS44" i="27" s="1"/>
  <c r="AR18" i="27"/>
  <c r="BB18" i="27" s="1"/>
  <c r="AS42" i="27"/>
  <c r="M71" i="27"/>
  <c r="N71" i="27" s="1"/>
  <c r="AI19" i="27"/>
  <c r="AS19" i="27" s="1"/>
  <c r="AS41" i="27"/>
  <c r="K76" i="27"/>
  <c r="L76" i="27" s="1"/>
  <c r="M77" i="27"/>
  <c r="N77" i="27" s="1"/>
  <c r="K58" i="27"/>
  <c r="L58" i="27" s="1"/>
  <c r="M58" i="27" s="1"/>
  <c r="M65" i="27"/>
  <c r="N65" i="27" s="1"/>
  <c r="M64" i="27"/>
  <c r="N64" i="27" s="1"/>
  <c r="K57" i="27"/>
  <c r="L57" i="27" s="1"/>
  <c r="M57" i="27" s="1"/>
  <c r="L78" i="27"/>
  <c r="N78" i="27"/>
  <c r="L44" i="27"/>
  <c r="M86" i="27" s="1"/>
  <c r="AA36" i="27"/>
  <c r="J86" i="27" s="1"/>
  <c r="AR42" i="27"/>
  <c r="L65" i="27"/>
  <c r="AJ24" i="27"/>
  <c r="AR32" i="27"/>
  <c r="BC18" i="27"/>
  <c r="AR33" i="27" s="1"/>
  <c r="AK24" i="27"/>
  <c r="O41" i="27"/>
  <c r="N58" i="27"/>
  <c r="O58" i="27" s="1"/>
  <c r="N57" i="27"/>
  <c r="O57" i="27" s="1"/>
  <c r="J90" i="12"/>
  <c r="AC25" i="12"/>
  <c r="AC38" i="12"/>
  <c r="AB66" i="12"/>
  <c r="L40" i="12"/>
  <c r="Z28" i="12"/>
  <c r="Y25" i="12" s="1"/>
  <c r="AE35" i="12"/>
  <c r="AE36" i="12" s="1"/>
  <c r="AQ25" i="12"/>
  <c r="AT25" i="12" s="1"/>
  <c r="AB67" i="12"/>
  <c r="X64" i="12"/>
  <c r="AM28" i="12"/>
  <c r="AA76" i="12"/>
  <c r="X44" i="12"/>
  <c r="AP25" i="12"/>
  <c r="AA66" i="12"/>
  <c r="AG38" i="12"/>
  <c r="X73" i="12"/>
  <c r="AB37" i="12"/>
  <c r="AC67" i="12"/>
  <c r="AC66" i="12"/>
  <c r="AG37" i="12"/>
  <c r="X45" i="12"/>
  <c r="AA38" i="12"/>
  <c r="AA42" i="12" s="1"/>
  <c r="AD64" i="12"/>
  <c r="AE64" i="12"/>
  <c r="AN28" i="12"/>
  <c r="W41" i="23"/>
  <c r="W44" i="23" s="1"/>
  <c r="Z57" i="23"/>
  <c r="K38" i="23" s="1"/>
  <c r="Y49" i="23"/>
  <c r="Y48" i="23"/>
  <c r="W26" i="23"/>
  <c r="Y33" i="23" s="1"/>
  <c r="Z48" i="23"/>
  <c r="Z51" i="23" s="1"/>
  <c r="U48" i="23"/>
  <c r="U51" i="23" s="1"/>
  <c r="V48" i="23"/>
  <c r="V49" i="23" s="1"/>
  <c r="I70" i="23"/>
  <c r="X26" i="23"/>
  <c r="Z33" i="23" s="1"/>
  <c r="U42" i="23"/>
  <c r="AA42" i="23" s="1"/>
  <c r="U55" i="23"/>
  <c r="Z42" i="23"/>
  <c r="V41" i="23"/>
  <c r="V42" i="23" s="1"/>
  <c r="V43" i="23" s="1"/>
  <c r="V55" i="23" s="1"/>
  <c r="V56" i="23" s="1"/>
  <c r="V57" i="23" s="1"/>
  <c r="Y41" i="23"/>
  <c r="Y44" i="23" s="1"/>
  <c r="Z58" i="23"/>
  <c r="L38" i="23" s="1"/>
  <c r="Z41" i="23"/>
  <c r="W48" i="23"/>
  <c r="X42" i="23"/>
  <c r="U41" i="23"/>
  <c r="AA41" i="23" s="1"/>
  <c r="X49" i="23"/>
  <c r="AD48" i="22" l="1"/>
  <c r="AS31" i="27"/>
  <c r="Q59" i="27"/>
  <c r="AD49" i="20"/>
  <c r="O64" i="27"/>
  <c r="AG35" i="15"/>
  <c r="AD49" i="15"/>
  <c r="AE43" i="15"/>
  <c r="AA51" i="22"/>
  <c r="Y43" i="22"/>
  <c r="AA49" i="20"/>
  <c r="K48" i="20"/>
  <c r="AA34" i="20"/>
  <c r="M51" i="20"/>
  <c r="AI34" i="20"/>
  <c r="AD43" i="20"/>
  <c r="AD44" i="20" s="1"/>
  <c r="AC43" i="20"/>
  <c r="AC44" i="20" s="1"/>
  <c r="AA71" i="20"/>
  <c r="AD48" i="20"/>
  <c r="AD50" i="20" s="1"/>
  <c r="AG43" i="20"/>
  <c r="AF49" i="20" s="1"/>
  <c r="AE48" i="20"/>
  <c r="AF67" i="12"/>
  <c r="AM20" i="27"/>
  <c r="AR20" i="27" s="1"/>
  <c r="L66" i="27"/>
  <c r="O66" i="27" s="1"/>
  <c r="AU19" i="27"/>
  <c r="E34" i="27"/>
  <c r="F34" i="27" s="1"/>
  <c r="AG33" i="22"/>
  <c r="AF82" i="12"/>
  <c r="AF81" i="12"/>
  <c r="L42" i="27"/>
  <c r="M42" i="27" s="1"/>
  <c r="AA68" i="15"/>
  <c r="AH35" i="22"/>
  <c r="AG34" i="22"/>
  <c r="E35" i="27"/>
  <c r="F35" i="27" s="1"/>
  <c r="Z36" i="27"/>
  <c r="J85" i="27" s="1"/>
  <c r="AC51" i="22"/>
  <c r="W75" i="20"/>
  <c r="Z75" i="20"/>
  <c r="Y75" i="20"/>
  <c r="X75" i="20"/>
  <c r="X80" i="20"/>
  <c r="X72" i="20"/>
  <c r="W80" i="20"/>
  <c r="W72" i="20"/>
  <c r="AF72" i="20"/>
  <c r="W67" i="20"/>
  <c r="AE72" i="20"/>
  <c r="Z67" i="20"/>
  <c r="AA80" i="20"/>
  <c r="Y67" i="20"/>
  <c r="X67" i="20"/>
  <c r="AD42" i="12"/>
  <c r="AD48" i="12" s="1"/>
  <c r="X56" i="12"/>
  <c r="AF56" i="12"/>
  <c r="X52" i="12"/>
  <c r="W56" i="12"/>
  <c r="W52" i="12"/>
  <c r="AE56" i="12"/>
  <c r="Z52" i="12"/>
  <c r="Y52" i="12"/>
  <c r="AA56" i="12"/>
  <c r="AB56" i="12"/>
  <c r="AE71" i="12"/>
  <c r="AE77" i="12" s="1"/>
  <c r="AE85" i="12"/>
  <c r="W81" i="12"/>
  <c r="X81" i="12"/>
  <c r="X85" i="12"/>
  <c r="Z81" i="12"/>
  <c r="W85" i="12"/>
  <c r="Y81" i="12"/>
  <c r="AF85" i="12"/>
  <c r="AC70" i="12"/>
  <c r="AC76" i="12" s="1"/>
  <c r="AB84" i="12"/>
  <c r="AA84" i="12"/>
  <c r="AF38" i="12"/>
  <c r="AF52" i="12"/>
  <c r="AF53" i="12"/>
  <c r="Z47" i="22"/>
  <c r="X75" i="22"/>
  <c r="W75" i="22"/>
  <c r="AL43" i="22"/>
  <c r="W48" i="22"/>
  <c r="AH42" i="22"/>
  <c r="AH43" i="22" s="1"/>
  <c r="Z43" i="22"/>
  <c r="W67" i="22"/>
  <c r="AA67" i="22" s="1"/>
  <c r="AA68" i="22"/>
  <c r="Y23" i="20"/>
  <c r="AA45" i="20"/>
  <c r="X48" i="20"/>
  <c r="AA48" i="20" s="1"/>
  <c r="Z23" i="20"/>
  <c r="AD67" i="20"/>
  <c r="AD68" i="20"/>
  <c r="M83" i="27"/>
  <c r="O71" i="27"/>
  <c r="K83" i="27"/>
  <c r="L83" i="27" s="1"/>
  <c r="Q83" i="27" s="1"/>
  <c r="AC45" i="20"/>
  <c r="Y45" i="20"/>
  <c r="X45" i="20"/>
  <c r="AB49" i="20"/>
  <c r="Z43" i="20"/>
  <c r="Z45" i="20" s="1"/>
  <c r="X44" i="20"/>
  <c r="AF48" i="20"/>
  <c r="AD47" i="22"/>
  <c r="AD51" i="22" s="1"/>
  <c r="AG43" i="22"/>
  <c r="AE48" i="22" s="1"/>
  <c r="N38" i="23"/>
  <c r="L55" i="23" s="1"/>
  <c r="L68" i="23" s="1"/>
  <c r="AS32" i="27"/>
  <c r="AC50" i="22"/>
  <c r="AH34" i="22"/>
  <c r="K84" i="27"/>
  <c r="L84" i="27" s="1"/>
  <c r="Q84" i="27" s="1"/>
  <c r="AB45" i="20"/>
  <c r="AB44" i="20"/>
  <c r="AB47" i="22"/>
  <c r="AC43" i="22"/>
  <c r="AB48" i="22" s="1"/>
  <c r="AH43" i="20"/>
  <c r="AH45" i="20" s="1"/>
  <c r="AE49" i="20"/>
  <c r="AC48" i="15"/>
  <c r="AC52" i="15" s="1"/>
  <c r="W91" i="15"/>
  <c r="X91" i="15" s="1"/>
  <c r="X92" i="15" s="1"/>
  <c r="M41" i="15"/>
  <c r="Z34" i="15"/>
  <c r="K39" i="15"/>
  <c r="AE48" i="15"/>
  <c r="AF48" i="15"/>
  <c r="AG36" i="15"/>
  <c r="X48" i="15"/>
  <c r="Y48" i="15" s="1"/>
  <c r="AF49" i="15"/>
  <c r="AE49" i="15"/>
  <c r="AD58" i="15" s="1"/>
  <c r="AF35" i="15"/>
  <c r="AB44" i="15"/>
  <c r="Z44" i="15"/>
  <c r="AF34" i="15"/>
  <c r="Y35" i="23"/>
  <c r="AI35" i="20"/>
  <c r="AH35" i="20"/>
  <c r="AH34" i="20"/>
  <c r="AI36" i="20"/>
  <c r="V50" i="23"/>
  <c r="V51" i="23"/>
  <c r="P57" i="27"/>
  <c r="Q57" i="27" s="1"/>
  <c r="Y48" i="22"/>
  <c r="X57" i="22" s="1"/>
  <c r="X60" i="22" s="1"/>
  <c r="X47" i="22"/>
  <c r="W47" i="22"/>
  <c r="X48" i="22"/>
  <c r="Y47" i="22"/>
  <c r="AI43" i="22"/>
  <c r="AE47" i="22"/>
  <c r="X56" i="22"/>
  <c r="Y56" i="22"/>
  <c r="Z56" i="22"/>
  <c r="Z50" i="22"/>
  <c r="Z51" i="22"/>
  <c r="M44" i="27"/>
  <c r="X25" i="27"/>
  <c r="AD37" i="12"/>
  <c r="AD41" i="12" s="1"/>
  <c r="AD44" i="12" s="1"/>
  <c r="AD46" i="12" s="1"/>
  <c r="X36" i="12"/>
  <c r="X77" i="12"/>
  <c r="AB70" i="12" s="1"/>
  <c r="AB71" i="12" s="1"/>
  <c r="AB77" i="12" s="1"/>
  <c r="P58" i="27"/>
  <c r="Q58" i="27" s="1"/>
  <c r="AR31" i="27"/>
  <c r="AR34" i="27"/>
  <c r="O65" i="27"/>
  <c r="AU18" i="27"/>
  <c r="M43" i="27"/>
  <c r="M85" i="27"/>
  <c r="AI20" i="27"/>
  <c r="AI21" i="27" s="1"/>
  <c r="BC19" i="27"/>
  <c r="AS33" i="27" s="1"/>
  <c r="AX19" i="27"/>
  <c r="AX18" i="27"/>
  <c r="N76" i="27"/>
  <c r="O44" i="27"/>
  <c r="K86" i="27" s="1"/>
  <c r="AM21" i="27"/>
  <c r="AK25" i="27"/>
  <c r="AJ25" i="27"/>
  <c r="Z25" i="12"/>
  <c r="X46" i="12"/>
  <c r="AB41" i="12" s="1"/>
  <c r="AB42" i="12" s="1"/>
  <c r="AE38" i="12"/>
  <c r="AN25" i="12"/>
  <c r="AE37" i="12"/>
  <c r="AE41" i="12" s="1"/>
  <c r="AE47" i="12" s="1"/>
  <c r="X75" i="12"/>
  <c r="W65" i="12" s="1"/>
  <c r="AD66" i="12"/>
  <c r="AE70" i="12" s="1"/>
  <c r="AD67" i="12"/>
  <c r="AA72" i="12"/>
  <c r="AA74" i="12" s="1"/>
  <c r="AA77" i="12"/>
  <c r="AA43" i="12"/>
  <c r="AA45" i="12" s="1"/>
  <c r="AA48" i="12"/>
  <c r="AM25" i="12"/>
  <c r="AE65" i="12"/>
  <c r="AE67" i="12" s="1"/>
  <c r="W43" i="23"/>
  <c r="X41" i="23"/>
  <c r="W55" i="23" s="1"/>
  <c r="Y34" i="23"/>
  <c r="L70" i="23"/>
  <c r="Y43" i="23"/>
  <c r="Y51" i="23"/>
  <c r="U50" i="23"/>
  <c r="Y50" i="23"/>
  <c r="AA48" i="23"/>
  <c r="AA50" i="23" s="1"/>
  <c r="Z50" i="23"/>
  <c r="U58" i="23"/>
  <c r="L39" i="23" s="1"/>
  <c r="U57" i="23"/>
  <c r="Z34" i="23"/>
  <c r="Z35" i="23"/>
  <c r="V44" i="23"/>
  <c r="Z43" i="23"/>
  <c r="Z44" i="23"/>
  <c r="U44" i="23"/>
  <c r="U43" i="23"/>
  <c r="X43" i="23"/>
  <c r="X48" i="23"/>
  <c r="W50" i="23"/>
  <c r="W51" i="23"/>
  <c r="AA44" i="23"/>
  <c r="AA43" i="23"/>
  <c r="V58" i="23"/>
  <c r="N42" i="23" s="1"/>
  <c r="AA55" i="23"/>
  <c r="K42" i="23"/>
  <c r="O43" i="27" l="1"/>
  <c r="K85" i="27" s="1"/>
  <c r="L85" i="27" s="1"/>
  <c r="L56" i="23"/>
  <c r="L69" i="23" s="1"/>
  <c r="AG36" i="22"/>
  <c r="X29" i="22" s="1"/>
  <c r="X49" i="20"/>
  <c r="Y49" i="20" s="1"/>
  <c r="AA51" i="20"/>
  <c r="AA50" i="20"/>
  <c r="Z48" i="20"/>
  <c r="AB48" i="20"/>
  <c r="AB50" i="20" s="1"/>
  <c r="Y48" i="20"/>
  <c r="AG45" i="20"/>
  <c r="AG44" i="20"/>
  <c r="AD48" i="15"/>
  <c r="AD57" i="15" s="1"/>
  <c r="AB57" i="15" s="1"/>
  <c r="AC73" i="12"/>
  <c r="AC75" i="12" s="1"/>
  <c r="X44" i="23"/>
  <c r="M84" i="27"/>
  <c r="L43" i="12"/>
  <c r="Z80" i="12"/>
  <c r="AA67" i="20"/>
  <c r="AB85" i="12"/>
  <c r="W80" i="12"/>
  <c r="AA80" i="12" s="1"/>
  <c r="AA81" i="12"/>
  <c r="Z51" i="12"/>
  <c r="W51" i="12"/>
  <c r="AA51" i="12" s="1"/>
  <c r="AA52" i="12"/>
  <c r="Y80" i="12"/>
  <c r="W55" i="12"/>
  <c r="W84" i="12"/>
  <c r="AB55" i="12"/>
  <c r="AA55" i="12"/>
  <c r="X51" i="12"/>
  <c r="AC72" i="12"/>
  <c r="AC74" i="12" s="1"/>
  <c r="X84" i="12"/>
  <c r="X55" i="12"/>
  <c r="AA85" i="12"/>
  <c r="X80" i="12"/>
  <c r="Y51" i="12"/>
  <c r="AD50" i="22"/>
  <c r="W57" i="22"/>
  <c r="AI48" i="22"/>
  <c r="AF50" i="20"/>
  <c r="AF51" i="20"/>
  <c r="AB36" i="20"/>
  <c r="AB38" i="20" s="1"/>
  <c r="Z44" i="20"/>
  <c r="AB37" i="20" s="1"/>
  <c r="Y76" i="20" s="1"/>
  <c r="W57" i="23"/>
  <c r="N34" i="23" s="1"/>
  <c r="W58" i="23"/>
  <c r="L34" i="23" s="1"/>
  <c r="AH44" i="20"/>
  <c r="L40" i="22"/>
  <c r="X65" i="12"/>
  <c r="AS34" i="27"/>
  <c r="AB50" i="22"/>
  <c r="AA56" i="22" s="1"/>
  <c r="AB51" i="22"/>
  <c r="AB56" i="22"/>
  <c r="X49" i="15"/>
  <c r="Y49" i="15" s="1"/>
  <c r="Y52" i="15" s="1"/>
  <c r="AE57" i="15"/>
  <c r="AE58" i="15" s="1"/>
  <c r="AE60" i="15" s="1"/>
  <c r="K37" i="15" s="1"/>
  <c r="AC51" i="15"/>
  <c r="AA57" i="15" s="1"/>
  <c r="AA58" i="15" s="1"/>
  <c r="AA60" i="15" s="1"/>
  <c r="K35" i="15" s="1"/>
  <c r="Z48" i="15"/>
  <c r="AA48" i="15"/>
  <c r="AB48" i="15"/>
  <c r="AB49" i="15"/>
  <c r="AA49" i="15"/>
  <c r="AE52" i="15"/>
  <c r="AF52" i="15"/>
  <c r="AE51" i="15"/>
  <c r="AF37" i="15"/>
  <c r="X29" i="15" s="1"/>
  <c r="AF51" i="15"/>
  <c r="Z57" i="22"/>
  <c r="Z60" i="22" s="1"/>
  <c r="L35" i="22" s="1"/>
  <c r="AE50" i="22"/>
  <c r="AE51" i="22"/>
  <c r="AH37" i="20"/>
  <c r="W51" i="22"/>
  <c r="AI47" i="22"/>
  <c r="W50" i="22"/>
  <c r="X28" i="22"/>
  <c r="AG47" i="22"/>
  <c r="AF48" i="22"/>
  <c r="AC57" i="22" s="1"/>
  <c r="AF47" i="22"/>
  <c r="AH47" i="22"/>
  <c r="AG48" i="22"/>
  <c r="X51" i="22"/>
  <c r="X50" i="22"/>
  <c r="AD43" i="12"/>
  <c r="AD45" i="12" s="1"/>
  <c r="K43" i="12" s="1"/>
  <c r="Y57" i="22"/>
  <c r="Y59" i="22" s="1"/>
  <c r="K41" i="22" s="1"/>
  <c r="X59" i="22"/>
  <c r="Y51" i="22"/>
  <c r="Y50" i="22"/>
  <c r="O85" i="27"/>
  <c r="P85" i="27" s="1"/>
  <c r="AD47" i="12"/>
  <c r="AC41" i="12"/>
  <c r="AC42" i="12" s="1"/>
  <c r="AC48" i="12" s="1"/>
  <c r="AB47" i="12"/>
  <c r="AB48" i="12"/>
  <c r="AB44" i="12"/>
  <c r="L41" i="12" s="1"/>
  <c r="W66" i="12"/>
  <c r="AS20" i="27"/>
  <c r="BC20" i="27" s="1"/>
  <c r="AT33" i="27" s="1"/>
  <c r="L86" i="27"/>
  <c r="BB20" i="27"/>
  <c r="AT31" i="27"/>
  <c r="AS21" i="27"/>
  <c r="AI22" i="27"/>
  <c r="AR21" i="27"/>
  <c r="AM22" i="27"/>
  <c r="AJ26" i="27"/>
  <c r="AK26" i="27"/>
  <c r="X47" i="12"/>
  <c r="X37" i="12" s="1"/>
  <c r="AD70" i="12"/>
  <c r="AD76" i="12" s="1"/>
  <c r="AB43" i="12"/>
  <c r="AB45" i="12" s="1"/>
  <c r="N41" i="12" s="1"/>
  <c r="K47" i="12"/>
  <c r="N47" i="12"/>
  <c r="AE73" i="12"/>
  <c r="AE76" i="12"/>
  <c r="AE72" i="12"/>
  <c r="AE74" i="12" s="1"/>
  <c r="AE66" i="12"/>
  <c r="X76" i="12" s="1"/>
  <c r="AF84" i="12" s="1"/>
  <c r="AB76" i="12"/>
  <c r="AB73" i="12"/>
  <c r="AB72" i="12"/>
  <c r="AB74" i="12" s="1"/>
  <c r="K52" i="12" s="1"/>
  <c r="N40" i="12"/>
  <c r="K40" i="12"/>
  <c r="AA51" i="23"/>
  <c r="Y36" i="23"/>
  <c r="K39" i="23"/>
  <c r="N39" i="23"/>
  <c r="K73" i="23" s="1"/>
  <c r="X51" i="23"/>
  <c r="X50" i="23"/>
  <c r="AB55" i="23"/>
  <c r="AA56" i="23"/>
  <c r="AA57" i="23" s="1"/>
  <c r="K41" i="23" s="1"/>
  <c r="X51" i="20" l="1"/>
  <c r="K67" i="23"/>
  <c r="X50" i="20"/>
  <c r="Z49" i="20"/>
  <c r="Z50" i="20" s="1"/>
  <c r="Y50" i="20"/>
  <c r="Q85" i="27"/>
  <c r="K34" i="23"/>
  <c r="AB51" i="20"/>
  <c r="Y51" i="20"/>
  <c r="Z49" i="15"/>
  <c r="Z52" i="15" s="1"/>
  <c r="AD52" i="15"/>
  <c r="AD51" i="15"/>
  <c r="X36" i="20"/>
  <c r="AA72" i="20" s="1"/>
  <c r="X76" i="20"/>
  <c r="L49" i="12"/>
  <c r="K57" i="23"/>
  <c r="K71" i="23" s="1"/>
  <c r="W76" i="20"/>
  <c r="Z76" i="20"/>
  <c r="AE55" i="12"/>
  <c r="AE84" i="12"/>
  <c r="N49" i="12"/>
  <c r="K49" i="12"/>
  <c r="AF55" i="12"/>
  <c r="AC43" i="12"/>
  <c r="AC45" i="12" s="1"/>
  <c r="K42" i="12" s="1"/>
  <c r="AC44" i="12"/>
  <c r="N42" i="12" s="1"/>
  <c r="W60" i="22"/>
  <c r="L33" i="22" s="1"/>
  <c r="W59" i="22"/>
  <c r="X37" i="20"/>
  <c r="AE54" i="20" s="1"/>
  <c r="N43" i="12"/>
  <c r="O63" i="12" s="1"/>
  <c r="O64" i="12" s="1"/>
  <c r="P82" i="12" s="1"/>
  <c r="K41" i="12"/>
  <c r="X51" i="15"/>
  <c r="AC57" i="15"/>
  <c r="AC58" i="15" s="1"/>
  <c r="AC61" i="15" s="1"/>
  <c r="L47" i="15" s="1"/>
  <c r="AB58" i="15"/>
  <c r="AA57" i="22"/>
  <c r="AA59" i="22" s="1"/>
  <c r="K36" i="22" s="1"/>
  <c r="AB46" i="12"/>
  <c r="X52" i="15"/>
  <c r="AB59" i="22"/>
  <c r="AB60" i="22"/>
  <c r="L34" i="22" s="1"/>
  <c r="Y51" i="15"/>
  <c r="W57" i="15"/>
  <c r="W58" i="15" s="1"/>
  <c r="W61" i="15" s="1"/>
  <c r="N36" i="15" s="1"/>
  <c r="AD61" i="15"/>
  <c r="L33" i="15" s="1"/>
  <c r="AD60" i="15"/>
  <c r="N51" i="15" s="1"/>
  <c r="AA52" i="15"/>
  <c r="AB52" i="15"/>
  <c r="AA51" i="15"/>
  <c r="Z57" i="15"/>
  <c r="AB51" i="15"/>
  <c r="X28" i="15"/>
  <c r="AE61" i="15"/>
  <c r="J99" i="22"/>
  <c r="AC59" i="22"/>
  <c r="AC60" i="22"/>
  <c r="L45" i="22" s="1"/>
  <c r="AA58" i="23"/>
  <c r="N41" i="23" s="1"/>
  <c r="L57" i="23" s="1"/>
  <c r="AC47" i="12"/>
  <c r="N40" i="22"/>
  <c r="K40" i="22"/>
  <c r="AH51" i="22"/>
  <c r="AH50" i="22"/>
  <c r="Z59" i="22"/>
  <c r="AD56" i="22"/>
  <c r="AF51" i="22"/>
  <c r="AF50" i="22"/>
  <c r="Y60" i="22"/>
  <c r="AA61" i="15"/>
  <c r="AI50" i="22"/>
  <c r="AI51" i="22"/>
  <c r="W37" i="12"/>
  <c r="AG50" i="22"/>
  <c r="AG51" i="22"/>
  <c r="X28" i="20"/>
  <c r="X29" i="20"/>
  <c r="AT32" i="27"/>
  <c r="AT34" i="27" s="1"/>
  <c r="AU20" i="27"/>
  <c r="AX20" i="27"/>
  <c r="BB21" i="27"/>
  <c r="AX21" i="27"/>
  <c r="AU21" i="27"/>
  <c r="AU31" i="27"/>
  <c r="AI23" i="27"/>
  <c r="AI24" i="27" s="1"/>
  <c r="AI25" i="27" s="1"/>
  <c r="AI26" i="27" s="1"/>
  <c r="AS22" i="27"/>
  <c r="AM23" i="27"/>
  <c r="AR22" i="27"/>
  <c r="AU32" i="27"/>
  <c r="BC21" i="27"/>
  <c r="AU33" i="27" s="1"/>
  <c r="AE42" i="12"/>
  <c r="AE48" i="12" s="1"/>
  <c r="W36" i="12"/>
  <c r="AD71" i="12"/>
  <c r="AD77" i="12" s="1"/>
  <c r="X66" i="12"/>
  <c r="W67" i="12" s="1"/>
  <c r="AF70" i="12"/>
  <c r="AF71" i="12" s="1"/>
  <c r="AF77" i="12" s="1"/>
  <c r="L52" i="12"/>
  <c r="N52" i="12"/>
  <c r="N73" i="12" s="1"/>
  <c r="AB75" i="12"/>
  <c r="K48" i="12"/>
  <c r="N48" i="12"/>
  <c r="L67" i="12"/>
  <c r="P67" i="12"/>
  <c r="M89" i="12"/>
  <c r="N67" i="12"/>
  <c r="Q89" i="12"/>
  <c r="O89" i="12"/>
  <c r="M67" i="12"/>
  <c r="N89" i="12"/>
  <c r="L89" i="12"/>
  <c r="O67" i="12"/>
  <c r="P89" i="12"/>
  <c r="K67" i="12"/>
  <c r="AD73" i="12"/>
  <c r="L48" i="12"/>
  <c r="AE75" i="12"/>
  <c r="V29" i="23"/>
  <c r="V28" i="23"/>
  <c r="K55" i="23"/>
  <c r="K70" i="23"/>
  <c r="AB57" i="23"/>
  <c r="AB58" i="23"/>
  <c r="L33" i="23" s="1"/>
  <c r="K53" i="23"/>
  <c r="K54" i="23" s="1"/>
  <c r="K66" i="23" s="1"/>
  <c r="K58" i="23"/>
  <c r="Z51" i="20" l="1"/>
  <c r="L41" i="23"/>
  <c r="L42" i="23"/>
  <c r="X58" i="15"/>
  <c r="X57" i="15"/>
  <c r="Z51" i="15"/>
  <c r="W54" i="20"/>
  <c r="W55" i="20" s="1"/>
  <c r="W61" i="20" s="1"/>
  <c r="X55" i="20"/>
  <c r="X61" i="20" s="1"/>
  <c r="X54" i="20"/>
  <c r="L92" i="12"/>
  <c r="P86" i="12"/>
  <c r="O65" i="12"/>
  <c r="P84" i="12" s="1"/>
  <c r="P92" i="12"/>
  <c r="L86" i="12"/>
  <c r="N86" i="12"/>
  <c r="M65" i="12"/>
  <c r="N84" i="12" s="1"/>
  <c r="L42" i="12"/>
  <c r="AC46" i="12"/>
  <c r="AE55" i="20"/>
  <c r="AE61" i="20" s="1"/>
  <c r="AE71" i="20"/>
  <c r="AF71" i="20"/>
  <c r="P81" i="12"/>
  <c r="P65" i="12"/>
  <c r="Q86" i="12"/>
  <c r="L65" i="12"/>
  <c r="M86" i="12"/>
  <c r="O86" i="12"/>
  <c r="N65" i="12"/>
  <c r="K63" i="12"/>
  <c r="M63" i="12"/>
  <c r="N81" i="12" s="1"/>
  <c r="P83" i="12"/>
  <c r="L83" i="12"/>
  <c r="N83" i="12"/>
  <c r="K33" i="22"/>
  <c r="N33" i="22"/>
  <c r="M89" i="22" s="1"/>
  <c r="AE60" i="20"/>
  <c r="M98" i="12"/>
  <c r="N92" i="12"/>
  <c r="K65" i="23"/>
  <c r="K65" i="12"/>
  <c r="K69" i="12" s="1"/>
  <c r="K70" i="12" s="1"/>
  <c r="W60" i="15"/>
  <c r="K36" i="15" s="1"/>
  <c r="L101" i="15" s="1"/>
  <c r="L36" i="15"/>
  <c r="N34" i="22"/>
  <c r="L56" i="22" s="1"/>
  <c r="K34" i="22"/>
  <c r="O98" i="12"/>
  <c r="L73" i="23"/>
  <c r="Q98" i="12"/>
  <c r="AA60" i="22"/>
  <c r="W38" i="12"/>
  <c r="X31" i="12" s="1"/>
  <c r="Y57" i="15"/>
  <c r="Y58" i="15" s="1"/>
  <c r="Y61" i="15" s="1"/>
  <c r="L42" i="15" s="1"/>
  <c r="AB61" i="15"/>
  <c r="L46" i="15" s="1"/>
  <c r="L51" i="15"/>
  <c r="L82" i="15" s="1"/>
  <c r="K51" i="15"/>
  <c r="K33" i="15"/>
  <c r="N33" i="15"/>
  <c r="L92" i="15" s="1"/>
  <c r="AC60" i="15"/>
  <c r="AB60" i="15"/>
  <c r="Z58" i="15"/>
  <c r="Z60" i="15" s="1"/>
  <c r="L37" i="15"/>
  <c r="N37" i="15"/>
  <c r="N35" i="15"/>
  <c r="L35" i="15"/>
  <c r="AD57" i="22"/>
  <c r="AD59" i="22" s="1"/>
  <c r="K46" i="22" s="1"/>
  <c r="L41" i="22"/>
  <c r="N41" i="22"/>
  <c r="L95" i="22" s="1"/>
  <c r="L67" i="15"/>
  <c r="M67" i="15"/>
  <c r="K67" i="15"/>
  <c r="K64" i="22"/>
  <c r="L64" i="22"/>
  <c r="K92" i="22"/>
  <c r="J96" i="22"/>
  <c r="M92" i="22"/>
  <c r="L92" i="22"/>
  <c r="M64" i="22"/>
  <c r="N35" i="22"/>
  <c r="K35" i="22"/>
  <c r="N45" i="22"/>
  <c r="K45" i="22"/>
  <c r="AE44" i="12"/>
  <c r="N44" i="12" s="1"/>
  <c r="AE43" i="12"/>
  <c r="AE45" i="12" s="1"/>
  <c r="K44" i="12" s="1"/>
  <c r="AU34" i="27"/>
  <c r="AV32" i="27"/>
  <c r="BC22" i="27"/>
  <c r="AV33" i="27" s="1"/>
  <c r="AX22" i="27"/>
  <c r="AU22" i="27"/>
  <c r="AV31" i="27"/>
  <c r="BB22" i="27"/>
  <c r="AM24" i="27"/>
  <c r="AR23" i="27"/>
  <c r="AL31" i="12"/>
  <c r="AL30" i="12"/>
  <c r="AD72" i="12"/>
  <c r="AD74" i="12" s="1"/>
  <c r="K50" i="12" s="1"/>
  <c r="P73" i="12"/>
  <c r="P74" i="12" s="1"/>
  <c r="Q97" i="12" s="1"/>
  <c r="L73" i="12"/>
  <c r="L74" i="12" s="1"/>
  <c r="K68" i="12"/>
  <c r="L87" i="12"/>
  <c r="N68" i="12"/>
  <c r="O88" i="12" s="1"/>
  <c r="O87" i="12"/>
  <c r="L63" i="12"/>
  <c r="N63" i="12"/>
  <c r="P63" i="12"/>
  <c r="O83" i="12"/>
  <c r="Q83" i="12"/>
  <c r="M83" i="12"/>
  <c r="N87" i="12"/>
  <c r="M68" i="12"/>
  <c r="N88" i="12" s="1"/>
  <c r="AF76" i="12"/>
  <c r="AF73" i="12"/>
  <c r="AF72" i="12"/>
  <c r="AF74" i="12" s="1"/>
  <c r="K51" i="12" s="1"/>
  <c r="O96" i="12"/>
  <c r="N74" i="12"/>
  <c r="O97" i="12" s="1"/>
  <c r="P87" i="12"/>
  <c r="O68" i="12"/>
  <c r="P88" i="12" s="1"/>
  <c r="P68" i="12"/>
  <c r="Q88" i="12" s="1"/>
  <c r="Q87" i="12"/>
  <c r="L50" i="12"/>
  <c r="N50" i="12"/>
  <c r="AD75" i="12"/>
  <c r="M87" i="12"/>
  <c r="L68" i="12"/>
  <c r="M88" i="12" s="1"/>
  <c r="K56" i="23"/>
  <c r="K48" i="23" s="1"/>
  <c r="K49" i="23" s="1"/>
  <c r="K68" i="23"/>
  <c r="M55" i="23"/>
  <c r="N33" i="23"/>
  <c r="K33" i="23"/>
  <c r="L71" i="23"/>
  <c r="L58" i="23"/>
  <c r="L72" i="23" s="1"/>
  <c r="M57" i="23"/>
  <c r="K72" i="23"/>
  <c r="O66" i="12" l="1"/>
  <c r="M66" i="12"/>
  <c r="N85" i="12" s="1"/>
  <c r="X60" i="15"/>
  <c r="K41" i="15" s="1"/>
  <c r="J108" i="15" s="1"/>
  <c r="M80" i="22"/>
  <c r="K62" i="22"/>
  <c r="K56" i="22"/>
  <c r="M62" i="22"/>
  <c r="K80" i="22"/>
  <c r="L62" i="22"/>
  <c r="L87" i="22" s="1"/>
  <c r="M56" i="22"/>
  <c r="L80" i="22"/>
  <c r="X61" i="15"/>
  <c r="L41" i="15" s="1"/>
  <c r="W57" i="20"/>
  <c r="W59" i="20" s="1"/>
  <c r="W56" i="20"/>
  <c r="W58" i="20" s="1"/>
  <c r="W60" i="20"/>
  <c r="M101" i="15"/>
  <c r="K101" i="15"/>
  <c r="J109" i="15"/>
  <c r="K68" i="15"/>
  <c r="K99" i="15"/>
  <c r="K100" i="15" s="1"/>
  <c r="M68" i="15"/>
  <c r="M99" i="15"/>
  <c r="M100" i="15" s="1"/>
  <c r="L68" i="15"/>
  <c r="L99" i="15"/>
  <c r="L100" i="15" s="1"/>
  <c r="X56" i="20"/>
  <c r="K50" i="20" s="1"/>
  <c r="L83" i="15"/>
  <c r="L119" i="15"/>
  <c r="L120" i="15" s="1"/>
  <c r="AE57" i="20"/>
  <c r="N46" i="20" s="1"/>
  <c r="AE56" i="20"/>
  <c r="K46" i="20" s="1"/>
  <c r="M64" i="12"/>
  <c r="N82" i="12" s="1"/>
  <c r="M69" i="12"/>
  <c r="N90" i="12" s="1"/>
  <c r="L44" i="12"/>
  <c r="K89" i="22"/>
  <c r="AE46" i="12"/>
  <c r="L89" i="22"/>
  <c r="O84" i="12"/>
  <c r="N66" i="12"/>
  <c r="O85" i="12" s="1"/>
  <c r="M84" i="12"/>
  <c r="L66" i="12"/>
  <c r="M85" i="12" s="1"/>
  <c r="P66" i="12"/>
  <c r="Q85" i="12" s="1"/>
  <c r="Q84" i="12"/>
  <c r="L90" i="12"/>
  <c r="L84" i="12"/>
  <c r="L81" i="12"/>
  <c r="K64" i="12"/>
  <c r="L82" i="12" s="1"/>
  <c r="P69" i="12"/>
  <c r="P70" i="12" s="1"/>
  <c r="Q91" i="12" s="1"/>
  <c r="X57" i="20"/>
  <c r="X59" i="20" s="1"/>
  <c r="X60" i="20"/>
  <c r="K95" i="22"/>
  <c r="K66" i="12"/>
  <c r="L85" i="12" s="1"/>
  <c r="X30" i="12"/>
  <c r="AD60" i="22"/>
  <c r="N95" i="12"/>
  <c r="O69" i="12"/>
  <c r="P90" i="12" s="1"/>
  <c r="K78" i="22"/>
  <c r="K57" i="22"/>
  <c r="M78" i="22"/>
  <c r="M57" i="22"/>
  <c r="M79" i="22" s="1"/>
  <c r="K87" i="22"/>
  <c r="K63" i="22"/>
  <c r="L95" i="12"/>
  <c r="M95" i="22"/>
  <c r="M87" i="22"/>
  <c r="M63" i="22"/>
  <c r="M88" i="22" s="1"/>
  <c r="L36" i="22"/>
  <c r="N36" i="22"/>
  <c r="L58" i="22" s="1"/>
  <c r="L78" i="22"/>
  <c r="L57" i="22"/>
  <c r="L79" i="22" s="1"/>
  <c r="K46" i="15"/>
  <c r="J106" i="15" s="1"/>
  <c r="N46" i="15"/>
  <c r="K47" i="15"/>
  <c r="N47" i="15"/>
  <c r="N42" i="15"/>
  <c r="Y60" i="15"/>
  <c r="K42" i="15" s="1"/>
  <c r="N41" i="15"/>
  <c r="K92" i="15"/>
  <c r="M92" i="15"/>
  <c r="M61" i="15"/>
  <c r="K61" i="15"/>
  <c r="L61" i="15"/>
  <c r="K121" i="15"/>
  <c r="K82" i="15"/>
  <c r="L121" i="15"/>
  <c r="M82" i="15"/>
  <c r="M121" i="15"/>
  <c r="Z61" i="15"/>
  <c r="L34" i="15" s="1"/>
  <c r="K34" i="15"/>
  <c r="N34" i="15"/>
  <c r="M104" i="15"/>
  <c r="M69" i="15"/>
  <c r="L69" i="15"/>
  <c r="K69" i="15"/>
  <c r="L104" i="15"/>
  <c r="K104" i="15"/>
  <c r="M86" i="22"/>
  <c r="M83" i="22"/>
  <c r="AE59" i="20"/>
  <c r="L46" i="20"/>
  <c r="M66" i="22"/>
  <c r="L66" i="22"/>
  <c r="K66" i="22"/>
  <c r="K98" i="22"/>
  <c r="M68" i="22"/>
  <c r="L68" i="22"/>
  <c r="J90" i="22"/>
  <c r="M98" i="22"/>
  <c r="L98" i="22"/>
  <c r="K68" i="22"/>
  <c r="L90" i="22"/>
  <c r="L65" i="22"/>
  <c r="L91" i="22" s="1"/>
  <c r="L46" i="22"/>
  <c r="N46" i="22"/>
  <c r="K101" i="22" s="1"/>
  <c r="M90" i="22"/>
  <c r="M65" i="22"/>
  <c r="M91" i="22" s="1"/>
  <c r="K65" i="22"/>
  <c r="K90" i="22"/>
  <c r="J93" i="22"/>
  <c r="K71" i="12"/>
  <c r="L93" i="12" s="1"/>
  <c r="M71" i="12"/>
  <c r="N93" i="12" s="1"/>
  <c r="O71" i="12"/>
  <c r="P93" i="12" s="1"/>
  <c r="M96" i="12"/>
  <c r="AW31" i="27"/>
  <c r="BB23" i="27"/>
  <c r="AS23" i="27"/>
  <c r="AM25" i="27"/>
  <c r="AR24" i="27"/>
  <c r="AV34" i="27"/>
  <c r="P95" i="12"/>
  <c r="Q92" i="12"/>
  <c r="Q96" i="12"/>
  <c r="P85" i="12"/>
  <c r="M92" i="12"/>
  <c r="N69" i="12"/>
  <c r="O81" i="12"/>
  <c r="N64" i="12"/>
  <c r="O92" i="12"/>
  <c r="L69" i="12"/>
  <c r="L91" i="12"/>
  <c r="L64" i="12"/>
  <c r="M81" i="12"/>
  <c r="M97" i="12"/>
  <c r="Q74" i="12"/>
  <c r="L51" i="12"/>
  <c r="N51" i="12"/>
  <c r="L71" i="12" s="1"/>
  <c r="AF75" i="12"/>
  <c r="P64" i="12"/>
  <c r="Q81" i="12"/>
  <c r="Q68" i="12"/>
  <c r="L88" i="12"/>
  <c r="K69" i="23"/>
  <c r="M68" i="23"/>
  <c r="M56" i="23"/>
  <c r="M69" i="23" s="1"/>
  <c r="L53" i="23"/>
  <c r="L67" i="23"/>
  <c r="M58" i="23"/>
  <c r="M71" i="23"/>
  <c r="K86" i="22" l="1"/>
  <c r="L86" i="22"/>
  <c r="L63" i="22"/>
  <c r="L88" i="22" s="1"/>
  <c r="M78" i="20"/>
  <c r="M111" i="20" s="1"/>
  <c r="L45" i="20"/>
  <c r="N68" i="15"/>
  <c r="N45" i="20"/>
  <c r="L76" i="20" s="1"/>
  <c r="K45" i="20"/>
  <c r="L110" i="20" s="1"/>
  <c r="N50" i="20"/>
  <c r="X58" i="20"/>
  <c r="K70" i="15"/>
  <c r="K102" i="15"/>
  <c r="K103" i="15" s="1"/>
  <c r="L70" i="15"/>
  <c r="L102" i="15"/>
  <c r="L103" i="15" s="1"/>
  <c r="M70" i="15"/>
  <c r="M102" i="15"/>
  <c r="M103" i="15" s="1"/>
  <c r="J111" i="15"/>
  <c r="J112" i="15"/>
  <c r="J117" i="20"/>
  <c r="J118" i="20"/>
  <c r="AE58" i="20"/>
  <c r="K83" i="15"/>
  <c r="K119" i="15"/>
  <c r="K120" i="15" s="1"/>
  <c r="M83" i="15"/>
  <c r="M119" i="15"/>
  <c r="M120" i="15" s="1"/>
  <c r="M62" i="15"/>
  <c r="M90" i="15"/>
  <c r="L62" i="15"/>
  <c r="L90" i="15"/>
  <c r="L91" i="15" s="1"/>
  <c r="K62" i="15"/>
  <c r="K90" i="15"/>
  <c r="K91" i="15" s="1"/>
  <c r="M76" i="20"/>
  <c r="M70" i="12"/>
  <c r="N91" i="12" s="1"/>
  <c r="Q66" i="12"/>
  <c r="L50" i="20"/>
  <c r="O72" i="12"/>
  <c r="P94" i="12" s="1"/>
  <c r="Q90" i="12"/>
  <c r="O70" i="12"/>
  <c r="P91" i="12" s="1"/>
  <c r="L83" i="22"/>
  <c r="M70" i="22"/>
  <c r="M99" i="22" s="1"/>
  <c r="K60" i="22"/>
  <c r="K84" i="22" s="1"/>
  <c r="M60" i="22"/>
  <c r="M84" i="22" s="1"/>
  <c r="M58" i="22"/>
  <c r="M59" i="22" s="1"/>
  <c r="K83" i="22"/>
  <c r="K58" i="22"/>
  <c r="K81" i="22" s="1"/>
  <c r="L113" i="20"/>
  <c r="L60" i="22"/>
  <c r="L84" i="22" s="1"/>
  <c r="K107" i="15"/>
  <c r="O95" i="12"/>
  <c r="K70" i="22"/>
  <c r="K71" i="22" s="1"/>
  <c r="L78" i="20"/>
  <c r="L111" i="20" s="1"/>
  <c r="L73" i="15"/>
  <c r="M110" i="15"/>
  <c r="M107" i="15"/>
  <c r="L107" i="15"/>
  <c r="L110" i="15"/>
  <c r="K110" i="15"/>
  <c r="L70" i="22"/>
  <c r="L71" i="22" s="1"/>
  <c r="L100" i="22" s="1"/>
  <c r="K113" i="20"/>
  <c r="M113" i="20"/>
  <c r="K88" i="22"/>
  <c r="N57" i="22"/>
  <c r="K79" i="22"/>
  <c r="K78" i="20"/>
  <c r="K79" i="20" s="1"/>
  <c r="K113" i="15"/>
  <c r="K73" i="15"/>
  <c r="M73" i="15"/>
  <c r="J105" i="15"/>
  <c r="K71" i="15"/>
  <c r="M71" i="15"/>
  <c r="L71" i="15"/>
  <c r="M113" i="15"/>
  <c r="L113" i="15"/>
  <c r="M75" i="15"/>
  <c r="K75" i="15"/>
  <c r="L75" i="15"/>
  <c r="M91" i="15"/>
  <c r="L63" i="15"/>
  <c r="L98" i="15"/>
  <c r="K65" i="15"/>
  <c r="L65" i="15"/>
  <c r="M95" i="15"/>
  <c r="M98" i="15"/>
  <c r="M63" i="15"/>
  <c r="K98" i="15"/>
  <c r="M65" i="15"/>
  <c r="K95" i="15"/>
  <c r="L95" i="15"/>
  <c r="K63" i="15"/>
  <c r="N70" i="15"/>
  <c r="L101" i="22"/>
  <c r="L69" i="22"/>
  <c r="L97" i="22" s="1"/>
  <c r="L96" i="22"/>
  <c r="K67" i="22"/>
  <c r="K93" i="22"/>
  <c r="M81" i="22"/>
  <c r="N65" i="22"/>
  <c r="K91" i="22"/>
  <c r="K69" i="22"/>
  <c r="K96" i="22"/>
  <c r="M96" i="22"/>
  <c r="M69" i="22"/>
  <c r="M97" i="22" s="1"/>
  <c r="L93" i="22"/>
  <c r="L67" i="22"/>
  <c r="L94" i="22" s="1"/>
  <c r="M101" i="22"/>
  <c r="M93" i="22"/>
  <c r="M67" i="22"/>
  <c r="M94" i="22" s="1"/>
  <c r="L81" i="22"/>
  <c r="L59" i="22"/>
  <c r="M72" i="12"/>
  <c r="N94" i="12" s="1"/>
  <c r="K72" i="12"/>
  <c r="K58" i="12" s="1"/>
  <c r="K59" i="12" s="1"/>
  <c r="AW32" i="27"/>
  <c r="AW35" i="27" s="1"/>
  <c r="AW36" i="27" s="1"/>
  <c r="BC23" i="27"/>
  <c r="AW33" i="27" s="1"/>
  <c r="BB24" i="27"/>
  <c r="AX31" i="27"/>
  <c r="AS24" i="27"/>
  <c r="AX24" i="27" s="1"/>
  <c r="AX23" i="27"/>
  <c r="AM26" i="27"/>
  <c r="AR26" i="27" s="1"/>
  <c r="AR25" i="27"/>
  <c r="AU23" i="27"/>
  <c r="M95" i="12"/>
  <c r="P71" i="12"/>
  <c r="Q93" i="12" s="1"/>
  <c r="L72" i="12"/>
  <c r="M94" i="12" s="1"/>
  <c r="M93" i="12"/>
  <c r="M82" i="12"/>
  <c r="Q64" i="12"/>
  <c r="Q82" i="12"/>
  <c r="N71" i="12"/>
  <c r="Q95" i="12"/>
  <c r="M90" i="12"/>
  <c r="L70" i="12"/>
  <c r="O82" i="12"/>
  <c r="O90" i="12"/>
  <c r="N70" i="12"/>
  <c r="O91" i="12" s="1"/>
  <c r="N56" i="23"/>
  <c r="M53" i="23"/>
  <c r="L65" i="23"/>
  <c r="L54" i="23"/>
  <c r="M72" i="23"/>
  <c r="N58" i="23"/>
  <c r="M61" i="22" l="1"/>
  <c r="M85" i="22" s="1"/>
  <c r="N63" i="22"/>
  <c r="M79" i="20"/>
  <c r="M112" i="20" s="1"/>
  <c r="K76" i="20"/>
  <c r="K108" i="20" s="1"/>
  <c r="K119" i="20"/>
  <c r="M71" i="22"/>
  <c r="M100" i="22" s="1"/>
  <c r="K61" i="22"/>
  <c r="K85" i="22" s="1"/>
  <c r="M119" i="20"/>
  <c r="K82" i="20"/>
  <c r="K83" i="20" s="1"/>
  <c r="L119" i="20"/>
  <c r="K110" i="20"/>
  <c r="M110" i="20"/>
  <c r="L74" i="15"/>
  <c r="L108" i="15"/>
  <c r="L109" i="15" s="1"/>
  <c r="K76" i="15"/>
  <c r="K111" i="15"/>
  <c r="K112" i="15" s="1"/>
  <c r="M76" i="15"/>
  <c r="M111" i="15"/>
  <c r="M112" i="15" s="1"/>
  <c r="L76" i="15"/>
  <c r="L111" i="15"/>
  <c r="L112" i="15" s="1"/>
  <c r="M74" i="15"/>
  <c r="M108" i="15"/>
  <c r="M109" i="15" s="1"/>
  <c r="K74" i="15"/>
  <c r="K108" i="15"/>
  <c r="K109" i="15" s="1"/>
  <c r="N83" i="15"/>
  <c r="N62" i="15"/>
  <c r="L79" i="20"/>
  <c r="L112" i="20" s="1"/>
  <c r="M82" i="20"/>
  <c r="M117" i="20" s="1"/>
  <c r="K64" i="15"/>
  <c r="K93" i="15"/>
  <c r="K94" i="15" s="1"/>
  <c r="M64" i="15"/>
  <c r="M93" i="15"/>
  <c r="M94" i="15" s="1"/>
  <c r="L64" i="15"/>
  <c r="L93" i="15"/>
  <c r="L94" i="15" s="1"/>
  <c r="K72" i="15"/>
  <c r="K105" i="15"/>
  <c r="K106" i="15" s="1"/>
  <c r="M66" i="15"/>
  <c r="M96" i="15"/>
  <c r="M97" i="15" s="1"/>
  <c r="L72" i="15"/>
  <c r="L105" i="15"/>
  <c r="L106" i="15" s="1"/>
  <c r="L66" i="15"/>
  <c r="L96" i="15"/>
  <c r="L97" i="15" s="1"/>
  <c r="K66" i="15"/>
  <c r="K96" i="15"/>
  <c r="K97" i="15" s="1"/>
  <c r="M72" i="15"/>
  <c r="M105" i="15"/>
  <c r="M106" i="15" s="1"/>
  <c r="L82" i="20"/>
  <c r="L83" i="20" s="1"/>
  <c r="L118" i="20" s="1"/>
  <c r="L108" i="20"/>
  <c r="L77" i="20"/>
  <c r="L109" i="20" s="1"/>
  <c r="M108" i="20"/>
  <c r="M77" i="20"/>
  <c r="M109" i="20" s="1"/>
  <c r="O58" i="12"/>
  <c r="O59" i="12" s="1"/>
  <c r="M58" i="12"/>
  <c r="M59" i="12" s="1"/>
  <c r="L61" i="22"/>
  <c r="L85" i="22" s="1"/>
  <c r="L99" i="22"/>
  <c r="K59" i="22"/>
  <c r="K99" i="22"/>
  <c r="L94" i="12"/>
  <c r="K111" i="20"/>
  <c r="L82" i="22"/>
  <c r="N67" i="22"/>
  <c r="K94" i="22"/>
  <c r="K112" i="20"/>
  <c r="N79" i="20"/>
  <c r="N59" i="22"/>
  <c r="N69" i="22"/>
  <c r="K97" i="22"/>
  <c r="M82" i="22"/>
  <c r="M51" i="22"/>
  <c r="M52" i="22" s="1"/>
  <c r="K100" i="22"/>
  <c r="N71" i="22"/>
  <c r="BB26" i="27"/>
  <c r="BC26" i="27"/>
  <c r="AZ33" i="27" s="1"/>
  <c r="AZ31" i="27"/>
  <c r="AS26" i="27"/>
  <c r="AZ32" i="27" s="1"/>
  <c r="AX32" i="27"/>
  <c r="AX35" i="27" s="1"/>
  <c r="AX36" i="27" s="1"/>
  <c r="BC24" i="27"/>
  <c r="AX33" i="27" s="1"/>
  <c r="BB25" i="27"/>
  <c r="AY31" i="27"/>
  <c r="AS25" i="27"/>
  <c r="AU24" i="27"/>
  <c r="AW34" i="27"/>
  <c r="P72" i="12"/>
  <c r="M91" i="12"/>
  <c r="Q70" i="12"/>
  <c r="O93" i="12"/>
  <c r="N72" i="12"/>
  <c r="L58" i="12"/>
  <c r="L59" i="12" s="1"/>
  <c r="M54" i="23"/>
  <c r="N54" i="23" s="1"/>
  <c r="M65" i="23"/>
  <c r="L48" i="23"/>
  <c r="L49" i="23" s="1"/>
  <c r="L66" i="23"/>
  <c r="L51" i="22" l="1"/>
  <c r="L52" i="22" s="1"/>
  <c r="K77" i="20"/>
  <c r="N61" i="22"/>
  <c r="K51" i="22"/>
  <c r="K52" i="22" s="1"/>
  <c r="K117" i="20"/>
  <c r="K82" i="22"/>
  <c r="N74" i="15"/>
  <c r="N76" i="15"/>
  <c r="M56" i="15"/>
  <c r="M57" i="15" s="1"/>
  <c r="M83" i="20"/>
  <c r="M118" i="20" s="1"/>
  <c r="N64" i="15"/>
  <c r="K56" i="15"/>
  <c r="K57" i="15" s="1"/>
  <c r="L56" i="15"/>
  <c r="L57" i="15" s="1"/>
  <c r="N72" i="15"/>
  <c r="L117" i="20"/>
  <c r="N66" i="15"/>
  <c r="K109" i="20"/>
  <c r="N77" i="20"/>
  <c r="K118" i="20"/>
  <c r="AU26" i="27"/>
  <c r="BC25" i="27"/>
  <c r="AY33" i="27" s="1"/>
  <c r="AY32" i="27"/>
  <c r="AY35" i="27" s="1"/>
  <c r="AY36" i="27" s="1"/>
  <c r="AX25" i="27"/>
  <c r="AX34" i="27"/>
  <c r="AX26" i="27"/>
  <c r="AZ34" i="27"/>
  <c r="AZ35" i="27"/>
  <c r="AZ36" i="27"/>
  <c r="AU25" i="27"/>
  <c r="Q94" i="12"/>
  <c r="P58" i="12"/>
  <c r="P59" i="12" s="1"/>
  <c r="O94" i="12"/>
  <c r="Q72" i="12"/>
  <c r="N58" i="12"/>
  <c r="N59" i="12" s="1"/>
  <c r="M66" i="23"/>
  <c r="M48" i="23"/>
  <c r="M49" i="23" s="1"/>
  <c r="N83" i="20" l="1"/>
  <c r="AY34" i="27"/>
  <c r="AE45" i="20"/>
  <c r="AE35" i="20" s="1"/>
  <c r="AF44" i="20"/>
  <c r="AE50" i="20"/>
  <c r="AD51" i="20"/>
  <c r="AA79" i="20" l="1"/>
  <c r="AB79" i="20" s="1"/>
  <c r="W79" i="20"/>
  <c r="X79" i="20"/>
  <c r="AC49" i="20"/>
  <c r="AE51" i="20"/>
  <c r="AD55" i="20" s="1"/>
  <c r="AF45" i="20"/>
  <c r="AD54" i="20" l="1"/>
  <c r="AD56" i="20" s="1"/>
  <c r="AC50" i="20"/>
  <c r="AC51" i="20"/>
  <c r="AD45" i="20"/>
  <c r="AD60" i="20" l="1"/>
  <c r="AD57" i="20"/>
  <c r="L60" i="20" s="1"/>
  <c r="AD61" i="20"/>
  <c r="AD58" i="20"/>
  <c r="N42" i="20"/>
  <c r="N60" i="20"/>
  <c r="K60" i="20"/>
  <c r="K42" i="20"/>
  <c r="X35" i="20"/>
  <c r="X38" i="20"/>
  <c r="AC54" i="20" s="1"/>
  <c r="AA54" i="20" l="1"/>
  <c r="AA55" i="20" s="1"/>
  <c r="Z54" i="20"/>
  <c r="Z55" i="20" s="1"/>
  <c r="AD59" i="20"/>
  <c r="K101" i="20"/>
  <c r="L42" i="20"/>
  <c r="K70" i="20" s="1"/>
  <c r="AC55" i="20"/>
  <c r="AC61" i="20" s="1"/>
  <c r="AB54" i="20"/>
  <c r="AB55" i="20" s="1"/>
  <c r="Y54" i="20"/>
  <c r="Y55" i="20" s="1"/>
  <c r="Y61" i="20" s="1"/>
  <c r="AB80" i="20"/>
  <c r="M101" i="20"/>
  <c r="L101" i="20"/>
  <c r="L70" i="20"/>
  <c r="X71" i="20"/>
  <c r="Z66" i="20"/>
  <c r="AB71" i="20"/>
  <c r="AB72" i="20" s="1"/>
  <c r="W71" i="20"/>
  <c r="W66" i="20"/>
  <c r="AA66" i="20" s="1"/>
  <c r="X66" i="20"/>
  <c r="Y66" i="20"/>
  <c r="M130" i="20"/>
  <c r="L130" i="20"/>
  <c r="K91" i="20"/>
  <c r="L91" i="20"/>
  <c r="M91" i="20"/>
  <c r="K130" i="20"/>
  <c r="M70" i="20" l="1"/>
  <c r="M99" i="20" s="1"/>
  <c r="M92" i="20"/>
  <c r="M129" i="20" s="1"/>
  <c r="M128" i="20"/>
  <c r="L128" i="20"/>
  <c r="L92" i="20"/>
  <c r="L129" i="20" s="1"/>
  <c r="AC57" i="20"/>
  <c r="AC56" i="20"/>
  <c r="AC60" i="20"/>
  <c r="AB60" i="20"/>
  <c r="AA60" i="20"/>
  <c r="K128" i="20"/>
  <c r="K92" i="20"/>
  <c r="AB61" i="20"/>
  <c r="Z60" i="20"/>
  <c r="Z61" i="20"/>
  <c r="Y60" i="20"/>
  <c r="Y57" i="20"/>
  <c r="Y56" i="20"/>
  <c r="AA61" i="20"/>
  <c r="L71" i="20"/>
  <c r="L99" i="20"/>
  <c r="K71" i="20"/>
  <c r="K99" i="20"/>
  <c r="M71" i="20" l="1"/>
  <c r="Z56" i="20"/>
  <c r="N43" i="20" s="1"/>
  <c r="AB57" i="20"/>
  <c r="AB59" i="20" s="1"/>
  <c r="K100" i="20"/>
  <c r="N71" i="20"/>
  <c r="Y58" i="20"/>
  <c r="K51" i="20"/>
  <c r="Z57" i="20"/>
  <c r="N92" i="20"/>
  <c r="K129" i="20"/>
  <c r="AA57" i="20"/>
  <c r="N51" i="20"/>
  <c r="Y59" i="20"/>
  <c r="L51" i="20"/>
  <c r="AC58" i="20"/>
  <c r="N56" i="20"/>
  <c r="K56" i="20"/>
  <c r="L100" i="20"/>
  <c r="AC59" i="20"/>
  <c r="L56" i="20"/>
  <c r="AA56" i="20"/>
  <c r="AB56" i="20"/>
  <c r="M100" i="20"/>
  <c r="Z58" i="20" l="1"/>
  <c r="K43" i="20"/>
  <c r="J121" i="20"/>
  <c r="J120" i="20"/>
  <c r="L55" i="20"/>
  <c r="AA58" i="20"/>
  <c r="K44" i="20"/>
  <c r="L43" i="20"/>
  <c r="Z59" i="20"/>
  <c r="K55" i="20"/>
  <c r="J115" i="20" s="1"/>
  <c r="N55" i="20"/>
  <c r="AB58" i="20"/>
  <c r="N44" i="20"/>
  <c r="AA59" i="20"/>
  <c r="L44" i="20"/>
  <c r="M122" i="20"/>
  <c r="M84" i="20"/>
  <c r="L122" i="20"/>
  <c r="K122" i="20"/>
  <c r="L84" i="20"/>
  <c r="K84" i="20"/>
  <c r="M72" i="20" l="1"/>
  <c r="M73" i="20" s="1"/>
  <c r="K104" i="20"/>
  <c r="M116" i="20"/>
  <c r="J114" i="20"/>
  <c r="L116" i="20"/>
  <c r="M80" i="20"/>
  <c r="M114" i="20" s="1"/>
  <c r="L80" i="20"/>
  <c r="L114" i="20" s="1"/>
  <c r="K80" i="20"/>
  <c r="K114" i="20" s="1"/>
  <c r="K116" i="20"/>
  <c r="M104" i="20"/>
  <c r="L120" i="20"/>
  <c r="L85" i="20"/>
  <c r="L121" i="20" s="1"/>
  <c r="L104" i="20"/>
  <c r="K120" i="20"/>
  <c r="K85" i="20"/>
  <c r="M120" i="20"/>
  <c r="M85" i="20"/>
  <c r="M121" i="20" s="1"/>
  <c r="K72" i="20"/>
  <c r="M107" i="20"/>
  <c r="L72" i="20"/>
  <c r="L74" i="20" s="1"/>
  <c r="L107" i="20"/>
  <c r="K107" i="20"/>
  <c r="M102" i="20" l="1"/>
  <c r="M74" i="20"/>
  <c r="M75" i="20" s="1"/>
  <c r="M106" i="20" s="1"/>
  <c r="L81" i="20"/>
  <c r="L115" i="20" s="1"/>
  <c r="M81" i="20"/>
  <c r="M115" i="20" s="1"/>
  <c r="K81" i="20"/>
  <c r="K115" i="20" s="1"/>
  <c r="K121" i="20"/>
  <c r="N85" i="20"/>
  <c r="M103" i="20"/>
  <c r="K102" i="20"/>
  <c r="K73" i="20"/>
  <c r="L73" i="20"/>
  <c r="L102" i="20"/>
  <c r="K74" i="20"/>
  <c r="L105" i="20"/>
  <c r="L75" i="20"/>
  <c r="L106" i="20" s="1"/>
  <c r="N81" i="20" l="1"/>
  <c r="M105" i="20"/>
  <c r="M65" i="20"/>
  <c r="M66" i="20" s="1"/>
  <c r="K105" i="20"/>
  <c r="K75" i="20"/>
  <c r="K65" i="20" s="1"/>
  <c r="K66" i="20" s="1"/>
  <c r="N73" i="20"/>
  <c r="K103" i="20"/>
  <c r="L103" i="20"/>
  <c r="L65" i="20"/>
  <c r="L66" i="20" s="1"/>
  <c r="N75" i="20" l="1"/>
  <c r="K106" i="20"/>
</calcChain>
</file>

<file path=xl/comments1.xml><?xml version="1.0" encoding="utf-8"?>
<comments xmlns="http://schemas.openxmlformats.org/spreadsheetml/2006/main">
  <authors>
    <author>Инженер по наладке и сервису ООО НПП "ЭКРА"</author>
    <author>Инженер</author>
    <author>Инженер ОНС</author>
    <author>Инженер ОНС (КАА)</author>
    <author>Elant</author>
  </authors>
  <commentList>
    <comment ref="A1" authorId="0">
      <text>
        <r>
          <rPr>
            <b/>
            <sz val="8"/>
            <color indexed="81"/>
            <rFont val="Tahoma"/>
            <family val="2"/>
            <charset val="204"/>
          </rPr>
          <t>Примечание:</t>
        </r>
        <r>
          <rPr>
            <sz val="8"/>
            <color indexed="81"/>
            <rFont val="Tahoma"/>
            <family val="2"/>
            <charset val="204"/>
          </rPr>
          <t xml:space="preserve">
Переход в главное меню - лист "Содержание".</t>
        </r>
      </text>
    </comment>
    <comment ref="E24" authorId="1">
      <text>
        <r>
          <rPr>
            <b/>
            <sz val="9"/>
            <color indexed="81"/>
            <rFont val="Tahoma"/>
            <family val="2"/>
            <charset val="204"/>
          </rPr>
          <t>Примечание:</t>
        </r>
        <r>
          <rPr>
            <sz val="9"/>
            <color indexed="81"/>
            <rFont val="Tahoma"/>
            <family val="2"/>
            <charset val="204"/>
          </rPr>
          <t xml:space="preserve">
Уставка наклона fi_4 актуальна только для РС 1 ступени ДЗ.
Вершина угла fi_4 берется от пересечения оси fi_линии и Хуст.</t>
        </r>
      </text>
    </comment>
    <comment ref="E29" authorId="2">
      <text>
        <r>
          <rPr>
            <b/>
            <sz val="9"/>
            <color indexed="81"/>
            <rFont val="Tahoma"/>
            <family val="2"/>
            <charset val="204"/>
          </rPr>
          <t>Примечание:</t>
        </r>
        <r>
          <rPr>
            <sz val="9"/>
            <color indexed="81"/>
            <rFont val="Tahoma"/>
            <family val="2"/>
            <charset val="204"/>
          </rPr>
          <t xml:space="preserve">
Направленность характеристики РС:
1 - вперед (хар-ка направлена в 1 кадрант, характерно для 1-3 ст. ДЗ);
2 - назад (хар-ка направлена в 3 кадрант, характерно для 4-5 ст. ДЗ).</t>
        </r>
      </text>
    </comment>
    <comment ref="E34" authorId="3">
      <text>
        <r>
          <rPr>
            <b/>
            <sz val="9"/>
            <color indexed="81"/>
            <rFont val="Tahoma"/>
            <family val="2"/>
            <charset val="204"/>
          </rPr>
          <t xml:space="preserve">Примечание:
</t>
        </r>
        <r>
          <rPr>
            <sz val="9"/>
            <color indexed="81"/>
            <rFont val="Tahoma"/>
            <family val="2"/>
            <charset val="204"/>
          </rPr>
          <t>Угол линии - это расчетное выражение от заданных параметров линии:</t>
        </r>
        <r>
          <rPr>
            <b/>
            <sz val="9"/>
            <color indexed="81"/>
            <rFont val="Tahoma"/>
            <family val="2"/>
            <charset val="204"/>
          </rPr>
          <t xml:space="preserve">
   </t>
        </r>
        <r>
          <rPr>
            <sz val="9"/>
            <color indexed="81"/>
            <rFont val="Tahoma"/>
            <family val="2"/>
            <charset val="204"/>
          </rPr>
          <t>fi_линии = arctg(X1/R1)
, где X1 и R1 - параметры линии.
Угол линии используется ТОЛЬКО если для проверки характеристики РС задан параметр fi_4 (т.е значение не равно 0), т.к. вершина угла fi_4 берется от пересечения оси fi_линии и Хуст.
Обычно fi_линии ≈ fi_1, но это не обязательное условие.</t>
        </r>
      </text>
    </comment>
    <comment ref="E41" authorId="3">
      <text>
        <r>
          <rPr>
            <b/>
            <sz val="9"/>
            <color indexed="81"/>
            <rFont val="Tahoma"/>
            <family val="2"/>
            <charset val="204"/>
          </rPr>
          <t>Примечание:</t>
        </r>
        <r>
          <rPr>
            <sz val="9"/>
            <color indexed="81"/>
            <rFont val="Tahoma"/>
            <family val="2"/>
            <charset val="204"/>
          </rPr>
          <t xml:space="preserve">
Номинальный ток датчиков тока терминала 1А / 5А.</t>
        </r>
      </text>
    </comment>
    <comment ref="E43" authorId="4">
      <text>
        <r>
          <rPr>
            <b/>
            <sz val="9"/>
            <color indexed="81"/>
            <rFont val="Tahoma"/>
            <family val="2"/>
            <charset val="204"/>
          </rPr>
          <t>Примечание:</t>
        </r>
        <r>
          <rPr>
            <sz val="9"/>
            <color indexed="81"/>
            <rFont val="Tahoma"/>
            <family val="2"/>
            <charset val="204"/>
          </rPr>
          <t xml:space="preserve">
Если значение тока не указано, то принимается величина составляющая 10% от Iном (1А/5А).
Величина тока может принимать только два значения: 0,1А или 0,5А.
Значение используемое для расчетов указано в п.4 (параграф "Проверка на мин. токе точной работе").</t>
        </r>
      </text>
    </comment>
    <comment ref="E45" authorId="2">
      <text>
        <r>
          <rPr>
            <b/>
            <sz val="9"/>
            <color indexed="81"/>
            <rFont val="Tahoma"/>
            <family val="2"/>
            <charset val="204"/>
          </rPr>
          <t>Примечание:</t>
        </r>
        <r>
          <rPr>
            <sz val="9"/>
            <color indexed="81"/>
            <rFont val="Tahoma"/>
            <family val="2"/>
            <charset val="204"/>
          </rPr>
          <t xml:space="preserve">
Указать параметр по которому будет выполнятся проверка характеристики РС:
1 - по сопротивлению (Z), в режиме ручной проверки РС от исп. установки.
2 - по напряжению (U), при I - const.</t>
        </r>
      </text>
    </comment>
    <comment ref="E47" authorId="3">
      <text>
        <r>
          <rPr>
            <b/>
            <sz val="9"/>
            <color indexed="81"/>
            <rFont val="Tahoma"/>
            <family val="2"/>
            <charset val="204"/>
          </rPr>
          <t xml:space="preserve">Примечание:
</t>
        </r>
        <r>
          <rPr>
            <sz val="9"/>
            <color indexed="81"/>
            <rFont val="Tahoma"/>
            <family val="2"/>
            <charset val="204"/>
          </rPr>
          <t>Индикатор области нагрузки указывает на наличие области нагрузки в хар-ке РС.</t>
        </r>
      </text>
    </comment>
    <comment ref="E48" authorId="4">
      <text>
        <r>
          <rPr>
            <b/>
            <sz val="9"/>
            <color indexed="81"/>
            <rFont val="Tahoma"/>
            <family val="2"/>
            <charset val="204"/>
          </rPr>
          <t xml:space="preserve">Примечание:
</t>
        </r>
        <r>
          <rPr>
            <sz val="9"/>
            <color indexed="81"/>
            <rFont val="Tahoma"/>
            <family val="2"/>
            <charset val="204"/>
          </rPr>
          <t>Индикатор проверки области нагрузки указывает на то, что перекрытие хар-ки РС и области нагрузки достаточно для ее проверки, с точки зрения допустимой погрешности (&lt;5%).</t>
        </r>
      </text>
    </comment>
    <comment ref="L49" authorId="2">
      <text>
        <r>
          <rPr>
            <b/>
            <sz val="9"/>
            <color indexed="81"/>
            <rFont val="Tahoma"/>
            <family val="2"/>
            <charset val="204"/>
          </rPr>
          <t>Примечание:</t>
        </r>
        <r>
          <rPr>
            <sz val="9"/>
            <color indexed="81"/>
            <rFont val="Tahoma"/>
            <family val="2"/>
            <charset val="204"/>
          </rPr>
          <t xml:space="preserve">
Значение тока 10% точности можно изменить в п.2 "Параметры проверки".</t>
        </r>
      </text>
    </comment>
    <comment ref="E52" authorId="3">
      <text>
        <r>
          <rPr>
            <b/>
            <sz val="9"/>
            <color indexed="81"/>
            <rFont val="Tahoma"/>
            <family val="2"/>
            <charset val="204"/>
          </rPr>
          <t xml:space="preserve">Примечание:
</t>
        </r>
        <r>
          <rPr>
            <sz val="9"/>
            <color indexed="81"/>
            <rFont val="Tahoma"/>
            <family val="2"/>
            <charset val="204"/>
          </rPr>
          <t>Индикатор указывает на наличие наклона верхней части в хар-ке РС, заданной углом fi_4.</t>
        </r>
      </text>
    </comment>
    <comment ref="E53" authorId="3">
      <text>
        <r>
          <rPr>
            <b/>
            <sz val="9"/>
            <color indexed="81"/>
            <rFont val="Tahoma"/>
            <family val="2"/>
            <charset val="204"/>
          </rPr>
          <t xml:space="preserve">Примечание:
</t>
        </r>
        <r>
          <rPr>
            <sz val="9"/>
            <color indexed="81"/>
            <rFont val="Tahoma"/>
            <family val="2"/>
            <charset val="204"/>
          </rPr>
          <t>Индикатор проверки наклона fi_4 указывает на то, что перекрытие хар-ки РС и наклона fi_4 достаточно для ее проверки, с точки зрения допустимой погрешности.
Возможность проверки ограничено условием: вершина угла fi_4 не должна быть удалена от центра участка Хуст больше чем 0,7*Rуст.
Ограничение задано 'методом научного тыка' и чем больше расхождение fi_1 и fi_линии тем больше вероятность, что результаты не войдут в допустимую погрешность 5%.</t>
        </r>
      </text>
    </comment>
    <comment ref="I56" authorId="2">
      <text>
        <r>
          <rPr>
            <b/>
            <sz val="9"/>
            <color indexed="81"/>
            <rFont val="Tahoma"/>
            <family val="2"/>
            <charset val="204"/>
          </rPr>
          <t>Примечание:</t>
        </r>
        <r>
          <rPr>
            <sz val="9"/>
            <color indexed="81"/>
            <rFont val="Tahoma"/>
            <family val="2"/>
            <charset val="204"/>
          </rPr>
          <t xml:space="preserve">
Средняя основная погрешность по сопротивлению, при Iкз = Iном, не должна превышать:
по величине сопротивления ± 5% от уставки:
по углу ± 5 град от уставки.</t>
        </r>
      </text>
    </comment>
  </commentList>
</comments>
</file>

<file path=xl/comments2.xml><?xml version="1.0" encoding="utf-8"?>
<comments xmlns="http://schemas.openxmlformats.org/spreadsheetml/2006/main">
  <authors>
    <author>Инженер по наладке и сервису ООО НПП "ЭКРА"</author>
    <author>Elant</author>
    <author>Инженер ОНС</author>
    <author>Кузнецов Александр Александрович</author>
    <author>Инженер ОНС (КАА)</author>
  </authors>
  <commentList>
    <comment ref="A1" authorId="0">
      <text>
        <r>
          <rPr>
            <b/>
            <sz val="8"/>
            <color indexed="81"/>
            <rFont val="Tahoma"/>
            <family val="2"/>
            <charset val="204"/>
          </rPr>
          <t>Примечание:</t>
        </r>
        <r>
          <rPr>
            <sz val="8"/>
            <color indexed="81"/>
            <rFont val="Tahoma"/>
            <family val="2"/>
            <charset val="204"/>
          </rPr>
          <t xml:space="preserve">
Переход в главное меню - лист "Содержание".</t>
        </r>
      </text>
    </comment>
    <comment ref="E24" authorId="1">
      <text>
        <r>
          <rPr>
            <b/>
            <sz val="9"/>
            <color indexed="81"/>
            <rFont val="Tahoma"/>
            <family val="2"/>
            <charset val="204"/>
          </rPr>
          <t xml:space="preserve">Примечание:
</t>
        </r>
        <r>
          <rPr>
            <sz val="9"/>
            <color indexed="81"/>
            <rFont val="Tahoma"/>
            <family val="2"/>
            <charset val="204"/>
          </rPr>
          <t>Для РС при КЗ на землю наклон верхней части характеристики является величиной постоянной и составляет -12 град.
Вершина угла fi_4 берется от пересечения оси fi_линии и Хуст.</t>
        </r>
      </text>
    </comment>
    <comment ref="E29" authorId="2">
      <text>
        <r>
          <rPr>
            <b/>
            <sz val="9"/>
            <color indexed="81"/>
            <rFont val="Tahoma"/>
            <family val="2"/>
            <charset val="204"/>
          </rPr>
          <t>Примечание:</t>
        </r>
        <r>
          <rPr>
            <sz val="9"/>
            <color indexed="81"/>
            <rFont val="Tahoma"/>
            <family val="2"/>
            <charset val="204"/>
          </rPr>
          <t xml:space="preserve">
Направленность характеристики РС:
1 - вперед (хар-ка направлена в 1 кадрант);
2 - назад (хар-ка направлена в 3 кадрант).</t>
        </r>
      </text>
    </comment>
    <comment ref="E36" authorId="3">
      <text>
        <r>
          <rPr>
            <b/>
            <sz val="9"/>
            <color indexed="81"/>
            <rFont val="Tahoma"/>
            <family val="2"/>
            <charset val="204"/>
          </rPr>
          <t>Примечание:</t>
        </r>
        <r>
          <rPr>
            <sz val="9"/>
            <color indexed="81"/>
            <rFont val="Tahoma"/>
            <family val="2"/>
            <charset val="204"/>
          </rPr>
          <t xml:space="preserve">
Пункт введен для контроля значения - должно быть минимальным.
В общей формуле расчета Zкз0 учавствует ток 3I0 // линии. В данной методике проверки ток 3I0 // линии не подается, но все равно возникает в терминале (тепловые токи).
Если данный коэфициент будет задан максимальным, то ток 3I0 // линии будет вносить существенную погрешность в работу органа.
При проверке необходимо задать минимальное значение.</t>
        </r>
      </text>
    </comment>
    <comment ref="E37" authorId="3">
      <text>
        <r>
          <rPr>
            <b/>
            <sz val="9"/>
            <color indexed="81"/>
            <rFont val="Tahoma"/>
            <family val="2"/>
            <charset val="204"/>
          </rPr>
          <t xml:space="preserve">Примечание:
</t>
        </r>
        <r>
          <rPr>
            <sz val="9"/>
            <color indexed="81"/>
            <rFont val="Tahoma"/>
            <family val="2"/>
            <charset val="204"/>
          </rPr>
          <t>Пункт введен для контроля значения - должно быть минимальным.
В общей формуле расчета Zкз0 учавствует ток 3I0 // линии. В данной методике проверки ток 3I0 // линии не подается, но все равно возникает в терминале (тепловые токи).
Если данный коэфициент будет задан максимальным, то ток 3I0 // линии будет вносить существенную погрешность в работу органа.
При проверке необходимо задать минимальное значение.</t>
        </r>
      </text>
    </comment>
    <comment ref="E42" authorId="4">
      <text>
        <r>
          <rPr>
            <b/>
            <sz val="9"/>
            <color indexed="81"/>
            <rFont val="Tahoma"/>
            <family val="2"/>
            <charset val="204"/>
          </rPr>
          <t xml:space="preserve">Примечание:
</t>
        </r>
        <r>
          <rPr>
            <sz val="9"/>
            <color indexed="81"/>
            <rFont val="Tahoma"/>
            <family val="2"/>
            <charset val="204"/>
          </rPr>
          <t>Угол линии - это расчетное выражение от заданных параметров линии:</t>
        </r>
        <r>
          <rPr>
            <b/>
            <sz val="9"/>
            <color indexed="81"/>
            <rFont val="Tahoma"/>
            <family val="2"/>
            <charset val="204"/>
          </rPr>
          <t xml:space="preserve">
   </t>
        </r>
        <r>
          <rPr>
            <sz val="9"/>
            <color indexed="81"/>
            <rFont val="Tahoma"/>
            <family val="2"/>
            <charset val="204"/>
          </rPr>
          <t>fi_линии = arctg(X1/R1)
, где X1 и R1 - параметры линии.
Угол линии используется ТОЛЬКО если для проверки характеристики РС задан параметр fi_4 (т.е значение не равно 0), т.к. вершина угла fi_4 берется от пересечения оси fi_линии и Хуст.
Обычно fi_линии ≈ fi_1, но это не обязательное условие.</t>
        </r>
      </text>
    </comment>
    <comment ref="E49" authorId="4">
      <text>
        <r>
          <rPr>
            <b/>
            <sz val="9"/>
            <color indexed="81"/>
            <rFont val="Tahoma"/>
            <family val="2"/>
            <charset val="204"/>
          </rPr>
          <t>Примечание:</t>
        </r>
        <r>
          <rPr>
            <sz val="9"/>
            <color indexed="81"/>
            <rFont val="Tahoma"/>
            <family val="2"/>
            <charset val="204"/>
          </rPr>
          <t xml:space="preserve">
Номинальный ток датчиков тока терминала 1А / 5А.</t>
        </r>
      </text>
    </comment>
    <comment ref="E51" authorId="1">
      <text>
        <r>
          <rPr>
            <b/>
            <sz val="9"/>
            <color indexed="81"/>
            <rFont val="Tahoma"/>
            <family val="2"/>
            <charset val="204"/>
          </rPr>
          <t>Примечание:</t>
        </r>
        <r>
          <rPr>
            <sz val="9"/>
            <color indexed="81"/>
            <rFont val="Tahoma"/>
            <family val="2"/>
            <charset val="204"/>
          </rPr>
          <t xml:space="preserve">
Если значение тока не указано, то принимается величина составляющая 10% от Iном (1А/5А).
Величина тока может принимать только два значения: 0,1А или 0,5А.
Значение используемое для расчетов указано в п.4 (параграф "Проверка на мин. токе точной работе").</t>
        </r>
      </text>
    </comment>
    <comment ref="E53" authorId="2">
      <text>
        <r>
          <rPr>
            <b/>
            <sz val="9"/>
            <color indexed="81"/>
            <rFont val="Tahoma"/>
            <family val="2"/>
            <charset val="204"/>
          </rPr>
          <t>Примечание:</t>
        </r>
        <r>
          <rPr>
            <sz val="9"/>
            <color indexed="81"/>
            <rFont val="Tahoma"/>
            <family val="2"/>
            <charset val="204"/>
          </rPr>
          <t xml:space="preserve">
Указать параметр по которому будет выполнятся проверка характеристики РС:
1 - по сопротивлению (Zф), в режиме ручной проверки РС от исп. установки.
2 - по напряжению (Uф), при Iф - const.</t>
        </r>
      </text>
    </comment>
    <comment ref="E55" authorId="4">
      <text>
        <r>
          <rPr>
            <b/>
            <sz val="9"/>
            <color indexed="81"/>
            <rFont val="Tahoma"/>
            <family val="2"/>
            <charset val="204"/>
          </rPr>
          <t xml:space="preserve">Примечание:
</t>
        </r>
        <r>
          <rPr>
            <sz val="9"/>
            <color indexed="81"/>
            <rFont val="Tahoma"/>
            <family val="2"/>
            <charset val="204"/>
          </rPr>
          <t>Индикатор области нагрузки указывает на наличие области нагрузки в хар-ке РС.</t>
        </r>
      </text>
    </comment>
    <comment ref="E56" authorId="1">
      <text>
        <r>
          <rPr>
            <b/>
            <sz val="9"/>
            <color indexed="81"/>
            <rFont val="Tahoma"/>
            <family val="2"/>
            <charset val="204"/>
          </rPr>
          <t xml:space="preserve">Примечание:
</t>
        </r>
        <r>
          <rPr>
            <sz val="9"/>
            <color indexed="81"/>
            <rFont val="Tahoma"/>
            <family val="2"/>
            <charset val="204"/>
          </rPr>
          <t>Индикатор проверки области нагрузки указывает на то, что перекрытие хар-ки РС и области нагрузки достаточно для ее проверки, с точки зрения допустимой погрешности (&lt;5%).</t>
        </r>
      </text>
    </comment>
    <comment ref="L58" authorId="2">
      <text>
        <r>
          <rPr>
            <b/>
            <sz val="9"/>
            <color indexed="81"/>
            <rFont val="Tahoma"/>
            <family val="2"/>
            <charset val="204"/>
          </rPr>
          <t>Примечание:</t>
        </r>
        <r>
          <rPr>
            <sz val="9"/>
            <color indexed="81"/>
            <rFont val="Tahoma"/>
            <family val="2"/>
            <charset val="204"/>
          </rPr>
          <t xml:space="preserve">
Значение тока 10% точности можно изменить в п.2 "Параметры проверки".</t>
        </r>
      </text>
    </comment>
    <comment ref="E63" authorId="4">
      <text>
        <r>
          <rPr>
            <b/>
            <sz val="9"/>
            <color indexed="81"/>
            <rFont val="Tahoma"/>
            <family val="2"/>
            <charset val="204"/>
          </rPr>
          <t xml:space="preserve">Примечание:
</t>
        </r>
        <r>
          <rPr>
            <sz val="9"/>
            <color indexed="81"/>
            <rFont val="Tahoma"/>
            <family val="2"/>
            <charset val="204"/>
          </rPr>
          <t>Индикатор указывает на наличие наклона верхней части в хар-ке РС, заданной углом fi_4.</t>
        </r>
      </text>
    </comment>
    <comment ref="E64" authorId="4">
      <text>
        <r>
          <rPr>
            <b/>
            <sz val="9"/>
            <color indexed="81"/>
            <rFont val="Tahoma"/>
            <family val="2"/>
            <charset val="204"/>
          </rPr>
          <t xml:space="preserve">Примечание:
</t>
        </r>
        <r>
          <rPr>
            <sz val="9"/>
            <color indexed="81"/>
            <rFont val="Tahoma"/>
            <family val="2"/>
            <charset val="204"/>
          </rPr>
          <t>Индикатор проверки наклона fi_4 указывает на то, что перекрытие хар-ки РС и наклона fi_4 достаточно для ее проверки, с точки зрения допустимой погрешности.
Возможность проверки ограничено условием: вершина угла fi_4 не должна быть удалена от центра участка Хуст больше чем 0,7*Rуст.
Ограничение задано 'методом научного тыка' и чем больше расхождение fi_1 и fi_линии тем больше вероятность, что результаты не войдут в допустимую погрешность 5%.</t>
        </r>
      </text>
    </comment>
    <comment ref="I65" authorId="2">
      <text>
        <r>
          <rPr>
            <b/>
            <sz val="9"/>
            <color indexed="81"/>
            <rFont val="Tahoma"/>
            <family val="2"/>
            <charset val="204"/>
          </rPr>
          <t>Примечание:</t>
        </r>
        <r>
          <rPr>
            <sz val="9"/>
            <color indexed="81"/>
            <rFont val="Tahoma"/>
            <family val="2"/>
            <charset val="204"/>
          </rPr>
          <t xml:space="preserve">
Средняя основная погрешность по сопротивлению, при Iкз = Iном, не должна превышать:
- по величине сопротивления ± 5% от уставки:
- по углу ± 5 град от уставки.</t>
        </r>
      </text>
    </comment>
  </commentList>
</comments>
</file>

<file path=xl/comments3.xml><?xml version="1.0" encoding="utf-8"?>
<comments xmlns="http://schemas.openxmlformats.org/spreadsheetml/2006/main">
  <authors>
    <author>Инженер по наладке и сервису ООО НПП "ЭКРА"</author>
    <author>Elant</author>
    <author>Инженер ОНС (КАА)</author>
    <author>Инженер ОНС</author>
  </authors>
  <commentList>
    <comment ref="A1" authorId="0">
      <text>
        <r>
          <rPr>
            <b/>
            <sz val="8"/>
            <color indexed="81"/>
            <rFont val="Tahoma"/>
            <family val="2"/>
            <charset val="204"/>
          </rPr>
          <t>Примечание:</t>
        </r>
        <r>
          <rPr>
            <sz val="8"/>
            <color indexed="81"/>
            <rFont val="Tahoma"/>
            <family val="2"/>
            <charset val="204"/>
          </rPr>
          <t xml:space="preserve">
Переход в главное меню - лист "Содержание".</t>
        </r>
      </text>
    </comment>
    <comment ref="E23" authorId="1">
      <text>
        <r>
          <rPr>
            <b/>
            <sz val="9"/>
            <color indexed="81"/>
            <rFont val="Tahoma"/>
            <family val="2"/>
            <charset val="204"/>
          </rPr>
          <t>Примечание:</t>
        </r>
        <r>
          <rPr>
            <sz val="9"/>
            <color indexed="81"/>
            <rFont val="Tahoma"/>
            <family val="2"/>
            <charset val="204"/>
          </rPr>
          <t xml:space="preserve">
Коэффициент смещения характеристики не является уставкой и имеет постоянное значение зафиксированное в прошивке.
В зависимости от типоисполнения терминала и версии ПО значение коэффициента может иметь значение 0,05 - 0,3, т.е. 5 - 30 % от Хуст.</t>
        </r>
      </text>
    </comment>
    <comment ref="E33" authorId="2">
      <text>
        <r>
          <rPr>
            <b/>
            <sz val="9"/>
            <color indexed="81"/>
            <rFont val="Tahoma"/>
            <family val="2"/>
            <charset val="204"/>
          </rPr>
          <t>Примечание:</t>
        </r>
        <r>
          <rPr>
            <sz val="9"/>
            <color indexed="81"/>
            <rFont val="Tahoma"/>
            <family val="2"/>
            <charset val="204"/>
          </rPr>
          <t xml:space="preserve">
Номинальный ток датчиков тока терминала 1А / 5А.</t>
        </r>
      </text>
    </comment>
    <comment ref="E35" authorId="3">
      <text>
        <r>
          <rPr>
            <b/>
            <sz val="9"/>
            <color indexed="81"/>
            <rFont val="Tahoma"/>
            <family val="2"/>
            <charset val="204"/>
          </rPr>
          <t>Примечание:</t>
        </r>
        <r>
          <rPr>
            <sz val="9"/>
            <color indexed="81"/>
            <rFont val="Tahoma"/>
            <family val="2"/>
            <charset val="204"/>
          </rPr>
          <t xml:space="preserve">
Указать параметр по которому будет выполнятся проверка характеристики РС:
1 - по сопротивлению (Z), в режиме ручной проверки РС от исп. установки.
2 - по напряжению (U), при I - const.</t>
        </r>
      </text>
    </comment>
    <comment ref="E37" authorId="3">
      <text>
        <r>
          <rPr>
            <b/>
            <sz val="9"/>
            <color indexed="81"/>
            <rFont val="Tahoma"/>
            <family val="2"/>
            <charset val="204"/>
          </rPr>
          <t>Примечание:</t>
        </r>
        <r>
          <rPr>
            <sz val="9"/>
            <color indexed="81"/>
            <rFont val="Tahoma"/>
            <family val="2"/>
            <charset val="204"/>
          </rPr>
          <t xml:space="preserve">
Направленность характеристики РС:
1 - вперед (хар-ка направлена в 1 кадрант);
2 - назад (хар-ка направлена в 3 кадрант).</t>
        </r>
      </text>
    </comment>
    <comment ref="E39" authorId="2">
      <text>
        <r>
          <rPr>
            <b/>
            <sz val="9"/>
            <color indexed="81"/>
            <rFont val="Tahoma"/>
            <family val="2"/>
            <charset val="204"/>
          </rPr>
          <t>Примечание:</t>
        </r>
        <r>
          <rPr>
            <sz val="9"/>
            <color indexed="81"/>
            <rFont val="Tahoma"/>
            <family val="2"/>
            <charset val="204"/>
          </rPr>
          <t xml:space="preserve">
Индикатор области нагрузки указывает на наличие области нагрузки в хар-ке РС (правая половина).</t>
        </r>
      </text>
    </comment>
    <comment ref="E40" authorId="1">
      <text>
        <r>
          <rPr>
            <b/>
            <sz val="9"/>
            <color indexed="81"/>
            <rFont val="Tahoma"/>
            <family val="2"/>
            <charset val="204"/>
          </rPr>
          <t xml:space="preserve">Примечание:
</t>
        </r>
        <r>
          <rPr>
            <sz val="9"/>
            <color indexed="81"/>
            <rFont val="Tahoma"/>
            <family val="2"/>
            <charset val="204"/>
          </rPr>
          <t>Индикатор проверки области нагрузки указывает на то, что перекрытие хар-ки РС (правая половина) и области нагрузки достаточно для ее проверки, с точки зрения допустимой погрешности (&lt;5%).</t>
        </r>
      </text>
    </comment>
    <comment ref="E42" authorId="2">
      <text>
        <r>
          <rPr>
            <b/>
            <sz val="9"/>
            <color indexed="81"/>
            <rFont val="Tahoma"/>
            <family val="2"/>
            <charset val="204"/>
          </rPr>
          <t>Примечание:</t>
        </r>
        <r>
          <rPr>
            <sz val="9"/>
            <color indexed="81"/>
            <rFont val="Tahoma"/>
            <family val="2"/>
            <charset val="204"/>
          </rPr>
          <t xml:space="preserve">
Индикатор области нагрузки указывает на наличие области нагрузки в хар-ке РС (левая половина).</t>
        </r>
      </text>
    </comment>
    <comment ref="E43" authorId="2">
      <text>
        <r>
          <rPr>
            <b/>
            <sz val="9"/>
            <color indexed="81"/>
            <rFont val="Tahoma"/>
            <family val="2"/>
            <charset val="204"/>
          </rPr>
          <t xml:space="preserve">Примечание:
</t>
        </r>
        <r>
          <rPr>
            <sz val="9"/>
            <color indexed="81"/>
            <rFont val="Tahoma"/>
            <family val="2"/>
            <charset val="204"/>
          </rPr>
          <t>Индикатор проверки области нагрузки указывает на то, что перекрытие хар-ки РС (левая половина) и области нагрузки достаточно для ее проверки, с точки зрения допустимой погрешности (&lt;5%).</t>
        </r>
      </text>
    </comment>
    <comment ref="I51" authorId="3">
      <text>
        <r>
          <rPr>
            <b/>
            <sz val="9"/>
            <color indexed="81"/>
            <rFont val="Tahoma"/>
            <family val="2"/>
            <charset val="204"/>
          </rPr>
          <t>Примечание:</t>
        </r>
        <r>
          <rPr>
            <sz val="9"/>
            <color indexed="81"/>
            <rFont val="Tahoma"/>
            <family val="2"/>
            <charset val="204"/>
          </rPr>
          <t xml:space="preserve">
Средняя основная погрешность по сопротивлению, при Iкз = Iном, не должна превышать:
по величине сопротивления ± 5% от уставки:
по углу ± 5 град от уставки.</t>
        </r>
      </text>
    </comment>
  </commentList>
</comments>
</file>

<file path=xl/comments4.xml><?xml version="1.0" encoding="utf-8"?>
<comments xmlns="http://schemas.openxmlformats.org/spreadsheetml/2006/main">
  <authors>
    <author>Инженер по наладке и сервису ООО НПП "ЭКРА"</author>
    <author>Elant</author>
    <author>Инженер ОНС</author>
  </authors>
  <commentList>
    <comment ref="A1" authorId="0">
      <text>
        <r>
          <rPr>
            <b/>
            <sz val="8"/>
            <color indexed="81"/>
            <rFont val="Tahoma"/>
            <family val="2"/>
            <charset val="204"/>
          </rPr>
          <t>Примечание:</t>
        </r>
        <r>
          <rPr>
            <sz val="8"/>
            <color indexed="81"/>
            <rFont val="Tahoma"/>
            <family val="2"/>
            <charset val="204"/>
          </rPr>
          <t xml:space="preserve">
Переход в главное меню - лист "Содержание".</t>
        </r>
      </text>
    </comment>
    <comment ref="E28" authorId="1">
      <text>
        <r>
          <rPr>
            <b/>
            <sz val="9"/>
            <color indexed="81"/>
            <rFont val="Tahoma"/>
            <family val="2"/>
            <charset val="204"/>
          </rPr>
          <t>Примечание:</t>
        </r>
        <r>
          <rPr>
            <sz val="9"/>
            <color indexed="81"/>
            <rFont val="Tahoma"/>
            <family val="2"/>
            <charset val="204"/>
          </rPr>
          <t xml:space="preserve">
Номинальный ток датчиков тока терминала 1А / 5А.
К значению Iном привязана величина зоны срабатывания </t>
        </r>
        <r>
          <rPr>
            <sz val="9"/>
            <color indexed="81"/>
            <rFont val="Wingdings 3"/>
            <family val="1"/>
            <charset val="2"/>
          </rPr>
          <t>r</t>
        </r>
        <r>
          <rPr>
            <sz val="9"/>
            <color indexed="81"/>
            <rFont val="Arial"/>
            <family val="2"/>
            <charset val="204"/>
          </rPr>
          <t>:</t>
        </r>
        <r>
          <rPr>
            <sz val="9"/>
            <color indexed="81"/>
            <rFont val="Tahoma"/>
            <family val="2"/>
            <charset val="204"/>
          </rPr>
          <t xml:space="preserve">
если Iном = 1А, </t>
        </r>
        <r>
          <rPr>
            <sz val="9"/>
            <color indexed="81"/>
            <rFont val="Wingdings 3"/>
            <family val="1"/>
            <charset val="2"/>
          </rPr>
          <t>r</t>
        </r>
        <r>
          <rPr>
            <sz val="9"/>
            <color indexed="81"/>
            <rFont val="Tahoma"/>
            <family val="2"/>
            <charset val="204"/>
          </rPr>
          <t xml:space="preserve"> = 5 Ом,
если Iном = 5А, </t>
        </r>
        <r>
          <rPr>
            <sz val="9"/>
            <color indexed="81"/>
            <rFont val="Wingdings 3"/>
            <family val="1"/>
            <charset val="2"/>
          </rPr>
          <t>r</t>
        </r>
        <r>
          <rPr>
            <sz val="9"/>
            <color indexed="81"/>
            <rFont val="Tahoma"/>
            <family val="2"/>
            <charset val="204"/>
          </rPr>
          <t xml:space="preserve"> = 1 Ом.</t>
        </r>
      </text>
    </comment>
    <comment ref="E29" authorId="1">
      <text>
        <r>
          <rPr>
            <b/>
            <sz val="9"/>
            <color indexed="81"/>
            <rFont val="Tahoma"/>
            <family val="2"/>
            <charset val="204"/>
          </rPr>
          <t>Примечание:</t>
        </r>
        <r>
          <rPr>
            <sz val="9"/>
            <color indexed="81"/>
            <rFont val="Tahoma"/>
            <family val="2"/>
            <charset val="204"/>
          </rPr>
          <t xml:space="preserve">
Ток проверки dZ/dt.
Реле можно проверять при любом удобном значении тока, но желательно проверять на номинальном токе датчиков.</t>
        </r>
      </text>
    </comment>
    <comment ref="E31" authorId="1">
      <text>
        <r>
          <rPr>
            <b/>
            <sz val="9"/>
            <color indexed="81"/>
            <rFont val="Tahoma"/>
            <family val="2"/>
            <charset val="204"/>
          </rPr>
          <t>Примечание:</t>
        </r>
        <r>
          <rPr>
            <sz val="9"/>
            <color indexed="81"/>
            <rFont val="Tahoma"/>
            <family val="2"/>
            <charset val="204"/>
          </rPr>
          <t xml:space="preserve">
Величина зоны срабатывания </t>
        </r>
        <r>
          <rPr>
            <sz val="9"/>
            <color indexed="81"/>
            <rFont val="Wingdings 3"/>
            <family val="1"/>
            <charset val="2"/>
          </rPr>
          <t>r</t>
        </r>
        <r>
          <rPr>
            <sz val="9"/>
            <color indexed="81"/>
            <rFont val="Tahoma"/>
            <family val="2"/>
            <charset val="204"/>
          </rPr>
          <t xml:space="preserve"> привязана к значению Iном:
если Iном = 1А, </t>
        </r>
        <r>
          <rPr>
            <sz val="9"/>
            <color indexed="81"/>
            <rFont val="Wingdings 3"/>
            <family val="1"/>
            <charset val="2"/>
          </rPr>
          <t>r</t>
        </r>
        <r>
          <rPr>
            <sz val="9"/>
            <color indexed="81"/>
            <rFont val="Tahoma"/>
            <family val="2"/>
            <charset val="204"/>
          </rPr>
          <t xml:space="preserve"> = 5 Ом,
если Iном = 5А, </t>
        </r>
        <r>
          <rPr>
            <sz val="9"/>
            <color indexed="81"/>
            <rFont val="Wingdings 3"/>
            <family val="1"/>
            <charset val="2"/>
          </rPr>
          <t>r</t>
        </r>
        <r>
          <rPr>
            <sz val="9"/>
            <color indexed="81"/>
            <rFont val="Tahoma"/>
            <family val="2"/>
            <charset val="204"/>
          </rPr>
          <t xml:space="preserve"> = 1 Ом.</t>
        </r>
      </text>
    </comment>
    <comment ref="E33" authorId="2">
      <text>
        <r>
          <rPr>
            <b/>
            <sz val="9"/>
            <color indexed="81"/>
            <rFont val="Tahoma"/>
            <family val="2"/>
            <charset val="204"/>
          </rPr>
          <t>Примечание:</t>
        </r>
        <r>
          <rPr>
            <sz val="9"/>
            <color indexed="81"/>
            <rFont val="Tahoma"/>
            <family val="2"/>
            <charset val="204"/>
          </rPr>
          <t xml:space="preserve">
Указать параметр по которому будет выполнятся проверка характеристики РС:
1 - по сопротивлению (Z), в режиме ручной проверки РС от исп. установки.
2 - по напряжению (U), при I - const.</t>
        </r>
      </text>
    </comment>
    <comment ref="I48" authorId="2">
      <text>
        <r>
          <rPr>
            <b/>
            <sz val="9"/>
            <color indexed="81"/>
            <rFont val="Tahoma"/>
            <family val="2"/>
            <charset val="204"/>
          </rPr>
          <t>Примечание:</t>
        </r>
        <r>
          <rPr>
            <sz val="9"/>
            <color indexed="81"/>
            <rFont val="Tahoma"/>
            <family val="2"/>
            <charset val="204"/>
          </rPr>
          <t xml:space="preserve">
Средняя основная погрешность по сопротивлению, при Iкз = Iном, не должна превышать:
по величине сопротивления ± 5% от уставки:
по углу ± 5 град от уставки.</t>
        </r>
      </text>
    </comment>
  </commentList>
</comments>
</file>

<file path=xl/comments5.xml><?xml version="1.0" encoding="utf-8"?>
<comments xmlns="http://schemas.openxmlformats.org/spreadsheetml/2006/main">
  <authors>
    <author>Инженер по наладке и сервису ООО НПП "ЭКРА"</author>
    <author>Elant</author>
    <author>Инженер ОНС</author>
    <author>Кузнецов Александр Александрович</author>
    <author>Инженер ОНС (КАА)</author>
  </authors>
  <commentList>
    <comment ref="A1" authorId="0">
      <text>
        <r>
          <rPr>
            <b/>
            <sz val="8"/>
            <color indexed="81"/>
            <rFont val="Tahoma"/>
            <family val="2"/>
            <charset val="204"/>
          </rPr>
          <t>Примечание:</t>
        </r>
        <r>
          <rPr>
            <sz val="8"/>
            <color indexed="81"/>
            <rFont val="Tahoma"/>
            <family val="2"/>
            <charset val="204"/>
          </rPr>
          <t xml:space="preserve">
Переход в главное меню - лист "Содержание".</t>
        </r>
      </text>
    </comment>
    <comment ref="E26" authorId="1">
      <text>
        <r>
          <rPr>
            <b/>
            <sz val="10"/>
            <color indexed="81"/>
            <rFont val="Arial"/>
            <family val="2"/>
            <charset val="204"/>
          </rPr>
          <t xml:space="preserve">Примечание:
</t>
        </r>
        <r>
          <rPr>
            <sz val="10"/>
            <color indexed="81"/>
            <rFont val="Arial"/>
            <family val="2"/>
            <charset val="204"/>
          </rPr>
          <t>Уставка смещения по оси Хипфк задана в % и изменяется в диапазонах (5-25)% Хипфк.
Ранее (до 2014г) данная уставка была нерегулируемой и составляла 12,5%.</t>
        </r>
      </text>
    </comment>
    <comment ref="E29" authorId="2">
      <text>
        <r>
          <rPr>
            <b/>
            <sz val="9"/>
            <color indexed="81"/>
            <rFont val="Tahoma"/>
            <family val="2"/>
            <charset val="204"/>
          </rPr>
          <t>Примечание:</t>
        </r>
        <r>
          <rPr>
            <sz val="9"/>
            <color indexed="81"/>
            <rFont val="Tahoma"/>
            <family val="2"/>
            <charset val="204"/>
          </rPr>
          <t xml:space="preserve">
Если уставка не указана, то принимается расчетное значение: 
fi1 = arctg(X1/R1).</t>
        </r>
      </text>
    </comment>
    <comment ref="E36" authorId="3">
      <text>
        <r>
          <rPr>
            <b/>
            <sz val="9"/>
            <color indexed="81"/>
            <rFont val="Tahoma"/>
            <family val="2"/>
            <charset val="204"/>
          </rPr>
          <t>Примечание:</t>
        </r>
        <r>
          <rPr>
            <sz val="9"/>
            <color indexed="81"/>
            <rFont val="Tahoma"/>
            <family val="2"/>
            <charset val="204"/>
          </rPr>
          <t xml:space="preserve">
Пункт введен для контроля значения - должно быть минимальным.
В общей формуле расчета Zипф, Zипфк учавствует ток 3I0 // линии. В данной методике проверки ток 3I0 // линии не подается, но все равно возникает в терминале (тепловые токи).
Если данный коэфициент будет задан максимальным, то ток 3I0 // линии будет вносить существенную погрешность в работу органа.
При проверке необходимо задать минимальное значение.</t>
        </r>
      </text>
    </comment>
    <comment ref="E37" authorId="3">
      <text>
        <r>
          <rPr>
            <b/>
            <sz val="9"/>
            <color indexed="81"/>
            <rFont val="Tahoma"/>
            <family val="2"/>
            <charset val="204"/>
          </rPr>
          <t xml:space="preserve">Примечание:
</t>
        </r>
        <r>
          <rPr>
            <sz val="9"/>
            <color indexed="81"/>
            <rFont val="Tahoma"/>
            <family val="2"/>
            <charset val="204"/>
          </rPr>
          <t>Пункт введен для контроля значения - должно быть минимальным.
В общей формуле расчета Zипф, Zипфк учавствует ток 3I0 // линии. В данной методике проверки ток 3I0 // линии не подается, но все равно возникает в терминале (тепловые токи).
Если данный коэфициент будет задан максимальным, то ток 3I0 // линии будет вносить существенную погрешность в работу органа.
При проверке необходимо задать минимальное значение.</t>
        </r>
      </text>
    </comment>
    <comment ref="E47" authorId="4">
      <text>
        <r>
          <rPr>
            <b/>
            <sz val="9"/>
            <color indexed="81"/>
            <rFont val="Tahoma"/>
            <family val="2"/>
            <charset val="204"/>
          </rPr>
          <t>Примечание:</t>
        </r>
        <r>
          <rPr>
            <sz val="9"/>
            <color indexed="81"/>
            <rFont val="Tahoma"/>
            <family val="2"/>
            <charset val="204"/>
          </rPr>
          <t xml:space="preserve">
Номинальный ток датчиков тока терминала 1А / 5А.</t>
        </r>
      </text>
    </comment>
    <comment ref="E49" authorId="2">
      <text>
        <r>
          <rPr>
            <b/>
            <sz val="9"/>
            <color indexed="81"/>
            <rFont val="Tahoma"/>
            <family val="2"/>
            <charset val="204"/>
          </rPr>
          <t>Примечание:</t>
        </r>
        <r>
          <rPr>
            <sz val="9"/>
            <color indexed="81"/>
            <rFont val="Tahoma"/>
            <family val="2"/>
            <charset val="204"/>
          </rPr>
          <t xml:space="preserve">
Указать параметр по которому будет выполнятся проверка характеристики РС:
1 - по сопротивлению (Zф), в режиме ручной проверки однофазного РС от исп. установки.
2 - по напряжению (Uф), при Iф - const.</t>
        </r>
      </text>
    </comment>
    <comment ref="I58" authorId="2">
      <text>
        <r>
          <rPr>
            <b/>
            <sz val="9"/>
            <color indexed="81"/>
            <rFont val="Tahoma"/>
            <family val="2"/>
            <charset val="204"/>
          </rPr>
          <t>Примечание:</t>
        </r>
        <r>
          <rPr>
            <sz val="9"/>
            <color indexed="81"/>
            <rFont val="Tahoma"/>
            <family val="2"/>
            <charset val="204"/>
          </rPr>
          <t xml:space="preserve">
Средняя основная погрешность по сопротивлению, при Iкз = Iном, не должна превышать:
по величине сопротивления ± 5% от уставки:
по углу ± 5 град от уставки.</t>
        </r>
      </text>
    </comment>
  </commentList>
</comments>
</file>

<file path=xl/comments6.xml><?xml version="1.0" encoding="utf-8"?>
<comments xmlns="http://schemas.openxmlformats.org/spreadsheetml/2006/main">
  <authors>
    <author>Инженер по наладке и сервису ООО НПП "ЭКРА"</author>
    <author>Elant</author>
  </authors>
  <commentList>
    <comment ref="A1" authorId="0">
      <text>
        <r>
          <rPr>
            <b/>
            <sz val="8"/>
            <color indexed="81"/>
            <rFont val="Tahoma"/>
            <family val="2"/>
            <charset val="204"/>
          </rPr>
          <t>Примечание:</t>
        </r>
        <r>
          <rPr>
            <sz val="8"/>
            <color indexed="81"/>
            <rFont val="Tahoma"/>
            <family val="2"/>
            <charset val="204"/>
          </rPr>
          <t xml:space="preserve">
Переход в главное меню - лист "Содержание".</t>
        </r>
      </text>
    </comment>
    <comment ref="E30" authorId="0">
      <text>
        <r>
          <rPr>
            <b/>
            <sz val="10"/>
            <color indexed="81"/>
            <rFont val="Tahoma"/>
            <family val="2"/>
            <charset val="204"/>
          </rPr>
          <t>Примечание:</t>
        </r>
        <r>
          <rPr>
            <sz val="10"/>
            <color indexed="81"/>
            <rFont val="Tahoma"/>
            <family val="2"/>
            <charset val="204"/>
          </rPr>
          <t xml:space="preserve">
Указывается приблизительное положение контрольной точки.
Конечное расчетное значение, на основе данного коэффициента, округляется до целого числа и может ему не соответствовать.
Коэффициент определяющий положение КТ на участке без торможения (горизонтальный участок 0 .. IT0) и на тормозной (наклонный участок - IT0 .. IБТ) хар-ке дифф. защиты.
Значение коэффициента задается в диапазоне (0.00 .. 1.00, шаг 0,01).
Обязательное условие: k КТ1(3) &lt; k КТ2(4), т.к. КТ1(3) должна располагать в начале участка, а КТ2(4) в конце.
Расположение КТ рекомендуется задавать ближе к концам участка, т.к. близкое расположение может привести к значительной погрешности.</t>
        </r>
      </text>
    </comment>
    <comment ref="E44" authorId="1">
      <text>
        <r>
          <rPr>
            <b/>
            <sz val="10"/>
            <color indexed="81"/>
            <rFont val="Tahoma"/>
            <family val="2"/>
            <charset val="204"/>
          </rPr>
          <t>Примечание:</t>
        </r>
        <r>
          <rPr>
            <sz val="10"/>
            <color indexed="81"/>
            <rFont val="Tahoma"/>
            <family val="2"/>
            <charset val="204"/>
          </rPr>
          <t xml:space="preserve">
Величина тока начала торможения ПО РТНП (Iт0) расчитана из условия, что изменяется ТОЛЬКО величина тока одной фазы (Iф1 ≠ const), а величины токов в остальных двух фазах равны и неизменны (Iф2=Iф3=const).
Значение Iт0 расчитывается по выражению: Iср/Кт + 1,25*Iном.</t>
        </r>
      </text>
    </comment>
  </commentList>
</comments>
</file>

<file path=xl/comments7.xml><?xml version="1.0" encoding="utf-8"?>
<comments xmlns="http://schemas.openxmlformats.org/spreadsheetml/2006/main">
  <authors>
    <author>Инженер по наладке и сервису ООО НПП "ЭКРА"</author>
  </authors>
  <commentList>
    <comment ref="A1" authorId="0">
      <text>
        <r>
          <rPr>
            <b/>
            <sz val="8"/>
            <color indexed="81"/>
            <rFont val="Tahoma"/>
            <family val="2"/>
            <charset val="204"/>
          </rPr>
          <t>Примечание:</t>
        </r>
        <r>
          <rPr>
            <sz val="8"/>
            <color indexed="81"/>
            <rFont val="Tahoma"/>
            <family val="2"/>
            <charset val="204"/>
          </rPr>
          <t xml:space="preserve">
Переход в главное меню - лист "Содержание".</t>
        </r>
      </text>
    </comment>
  </commentList>
</comments>
</file>

<file path=xl/comments8.xml><?xml version="1.0" encoding="utf-8"?>
<comments xmlns="http://schemas.openxmlformats.org/spreadsheetml/2006/main">
  <authors>
    <author>Инженер по наладке и сервису ООО НПП "ЭКРА"</author>
  </authors>
  <commentList>
    <comment ref="A1" authorId="0">
      <text>
        <r>
          <rPr>
            <b/>
            <sz val="8"/>
            <color indexed="81"/>
            <rFont val="Tahoma"/>
            <family val="2"/>
            <charset val="204"/>
          </rPr>
          <t>Примечание:</t>
        </r>
        <r>
          <rPr>
            <sz val="8"/>
            <color indexed="81"/>
            <rFont val="Tahoma"/>
            <family val="2"/>
            <charset val="204"/>
          </rPr>
          <t xml:space="preserve">
Переход в главное меню - лист "Содержание".</t>
        </r>
      </text>
    </comment>
  </commentList>
</comments>
</file>

<file path=xl/sharedStrings.xml><?xml version="1.0" encoding="utf-8"?>
<sst xmlns="http://schemas.openxmlformats.org/spreadsheetml/2006/main" count="1755" uniqueCount="655">
  <si>
    <t>Наименование</t>
  </si>
  <si>
    <t>KKX</t>
  </si>
  <si>
    <t>KKR</t>
  </si>
  <si>
    <t>Уставка по оси R Zипф, Ом</t>
  </si>
  <si>
    <t>Rуст ипф</t>
  </si>
  <si>
    <t>Уставка по оси X Zипф, Ом</t>
  </si>
  <si>
    <t>Xуст ипф</t>
  </si>
  <si>
    <t>Смещение по оси X Zипф1, Ом</t>
  </si>
  <si>
    <t>Xуст ипф1</t>
  </si>
  <si>
    <t>Уставка по оси R Zипфк, Ом</t>
  </si>
  <si>
    <t>Rуст ипфк</t>
  </si>
  <si>
    <t>Уставка по оси X Zипфк, Ом</t>
  </si>
  <si>
    <t>Xуст ипфк</t>
  </si>
  <si>
    <t>kум Zипфк</t>
  </si>
  <si>
    <t>Коэфф. уменьшения Zипфк, о.е</t>
  </si>
  <si>
    <t>Х1</t>
  </si>
  <si>
    <t>R1</t>
  </si>
  <si>
    <t>Х0</t>
  </si>
  <si>
    <t>R0</t>
  </si>
  <si>
    <t>ИПФ</t>
  </si>
  <si>
    <t>ИПФК</t>
  </si>
  <si>
    <t>ось R</t>
  </si>
  <si>
    <t>fi_1</t>
  </si>
  <si>
    <t>fi_2</t>
  </si>
  <si>
    <t>fi_3</t>
  </si>
  <si>
    <t>Iкз (Iном)</t>
  </si>
  <si>
    <t>Kr</t>
  </si>
  <si>
    <t>Kx</t>
  </si>
  <si>
    <t>Коэфф. компенсации тока 3Io по R</t>
  </si>
  <si>
    <t>Коэфф. компенсации тока 3Io по X</t>
  </si>
  <si>
    <t>Контрольная точка</t>
  </si>
  <si>
    <t>Действие</t>
  </si>
  <si>
    <t>Усл. сраб.</t>
  </si>
  <si>
    <t>Характеристика ИПФ</t>
  </si>
  <si>
    <t>Характеристика ИПФК</t>
  </si>
  <si>
    <t>Проверочные точки ИПФ</t>
  </si>
  <si>
    <t>Проверочные точки ИПФК</t>
  </si>
  <si>
    <t>КТ1</t>
  </si>
  <si>
    <t>КТ2</t>
  </si>
  <si>
    <t>КТ3</t>
  </si>
  <si>
    <t>КТ4</t>
  </si>
  <si>
    <t>КТ5</t>
  </si>
  <si>
    <t>уменьш. fi до</t>
  </si>
  <si>
    <t>Величина срабатывания</t>
  </si>
  <si>
    <t>КТ6</t>
  </si>
  <si>
    <t>ось X</t>
  </si>
  <si>
    <t>R, Ом</t>
  </si>
  <si>
    <t>X, Ом</t>
  </si>
  <si>
    <t>fi, °</t>
  </si>
  <si>
    <t>Угол наклона характеристики, °</t>
  </si>
  <si>
    <t>Коррект. множитель 3Io по R</t>
  </si>
  <si>
    <t>Коррект. множитель 3Io по X</t>
  </si>
  <si>
    <t>Zипф</t>
  </si>
  <si>
    <t>Zипфк</t>
  </si>
  <si>
    <t>Погрешность по X, %</t>
  </si>
  <si>
    <t>Погрешность по R, %</t>
  </si>
  <si>
    <t>-</t>
  </si>
  <si>
    <t>Угол наклона хар-ки ИПФ, °</t>
  </si>
  <si>
    <t>Угол наклона хар-ки ИПФК, °</t>
  </si>
  <si>
    <t>fi_1, °</t>
  </si>
  <si>
    <t>fi_2, °</t>
  </si>
  <si>
    <t>fi_3, °</t>
  </si>
  <si>
    <t>№</t>
  </si>
  <si>
    <t>Наименование параметра</t>
  </si>
  <si>
    <t>Обозначение</t>
  </si>
  <si>
    <t>Уставка</t>
  </si>
  <si>
    <t>1. Уставки избирателя фаз</t>
  </si>
  <si>
    <t>Определение</t>
  </si>
  <si>
    <t>Значение</t>
  </si>
  <si>
    <t>Проверка выполняется для всех контрольных точек. Значения срабатывания записываются в столбец "Величина срабатывания".</t>
  </si>
  <si>
    <r>
      <rPr>
        <b/>
        <sz val="12"/>
        <color indexed="8"/>
        <rFont val="Arial"/>
        <family val="2"/>
        <charset val="204"/>
      </rPr>
      <t>Z</t>
    </r>
    <r>
      <rPr>
        <b/>
        <sz val="8"/>
        <color indexed="8"/>
        <rFont val="Arial"/>
        <family val="2"/>
        <charset val="204"/>
      </rPr>
      <t>ИПФ А</t>
    </r>
  </si>
  <si>
    <r>
      <rPr>
        <b/>
        <sz val="12"/>
        <color indexed="8"/>
        <rFont val="Arial"/>
        <family val="2"/>
        <charset val="204"/>
      </rPr>
      <t>Z</t>
    </r>
    <r>
      <rPr>
        <b/>
        <sz val="8"/>
        <color indexed="8"/>
        <rFont val="Arial"/>
        <family val="2"/>
        <charset val="204"/>
      </rPr>
      <t>ИПФ В</t>
    </r>
  </si>
  <si>
    <r>
      <rPr>
        <b/>
        <sz val="12"/>
        <color indexed="8"/>
        <rFont val="Arial"/>
        <family val="2"/>
        <charset val="204"/>
      </rPr>
      <t>Z</t>
    </r>
    <r>
      <rPr>
        <b/>
        <sz val="8"/>
        <color indexed="8"/>
        <rFont val="Arial"/>
        <family val="2"/>
        <charset val="204"/>
      </rPr>
      <t>ИПФ С</t>
    </r>
  </si>
  <si>
    <t>Начальное напряжение</t>
  </si>
  <si>
    <t>ИО</t>
  </si>
  <si>
    <t>Номинальный ток терм. (ток КЗ), А</t>
  </si>
  <si>
    <t>увелич. fi до</t>
  </si>
  <si>
    <t>Х1 линии (втор.), Ом/км</t>
  </si>
  <si>
    <t>R1 линии (втор.), Ом/км</t>
  </si>
  <si>
    <t>Х0 линии (втор.), Ом/км</t>
  </si>
  <si>
    <t>R0 линии (втор.), Ом/км</t>
  </si>
  <si>
    <t>Наклон характеристик ИПФ, °</t>
  </si>
  <si>
    <t>1. Уставки РС</t>
  </si>
  <si>
    <t>Уставка по оси Х характеристики, Ом</t>
  </si>
  <si>
    <t>Уставка по оси R характеристики, Ом</t>
  </si>
  <si>
    <t>Наклон характеристики, °</t>
  </si>
  <si>
    <t>Xуст</t>
  </si>
  <si>
    <t>Rуст</t>
  </si>
  <si>
    <t>Наклон верхней части характеристики, °</t>
  </si>
  <si>
    <t>Наклон левой части характеристики, °</t>
  </si>
  <si>
    <t>Наклон нижней правой части характеристики, °</t>
  </si>
  <si>
    <t>Уставка по оси R нагрузочного режима, Ом</t>
  </si>
  <si>
    <t>Угол выреза нагрузочного режима, °</t>
  </si>
  <si>
    <t>fi_нагр</t>
  </si>
  <si>
    <t>Rнагр</t>
  </si>
  <si>
    <t>fi_4</t>
  </si>
  <si>
    <t>Направленность характеристики РС</t>
  </si>
  <si>
    <t>АВ</t>
  </si>
  <si>
    <t>ВС</t>
  </si>
  <si>
    <t>СА</t>
  </si>
  <si>
    <t>R</t>
  </si>
  <si>
    <t>X</t>
  </si>
  <si>
    <t>КТ7</t>
  </si>
  <si>
    <t>КТ8</t>
  </si>
  <si>
    <t>КТ9</t>
  </si>
  <si>
    <t>КТ10</t>
  </si>
  <si>
    <t>КТ11</t>
  </si>
  <si>
    <t>fi_4, °</t>
  </si>
  <si>
    <t>КТ10_1</t>
  </si>
  <si>
    <t>Характеристика РС</t>
  </si>
  <si>
    <t>Узловые точки характеристики РС</t>
  </si>
  <si>
    <t>КТ4_1</t>
  </si>
  <si>
    <t>Контрольные точки</t>
  </si>
  <si>
    <t>Проверка основных параметров</t>
  </si>
  <si>
    <t>Проверка области нагрузки</t>
  </si>
  <si>
    <t>Управляемая величина</t>
  </si>
  <si>
    <t>Параметры ХС</t>
  </si>
  <si>
    <t>fi_нагр-</t>
  </si>
  <si>
    <t>fi_нагр+</t>
  </si>
  <si>
    <t>Область нагрузки</t>
  </si>
  <si>
    <t>Z</t>
  </si>
  <si>
    <t>fi</t>
  </si>
  <si>
    <t>Уставки ХС</t>
  </si>
  <si>
    <t>Погрешность по Rнагр, %</t>
  </si>
  <si>
    <t>Значения срабатывания</t>
  </si>
  <si>
    <t>Z АВ</t>
  </si>
  <si>
    <t>Z ВС</t>
  </si>
  <si>
    <t>Z СА</t>
  </si>
  <si>
    <t>Номинальный ток терминала (ток КЗ), А</t>
  </si>
  <si>
    <r>
      <t xml:space="preserve">fi, </t>
    </r>
    <r>
      <rPr>
        <b/>
        <sz val="10"/>
        <color indexed="8"/>
        <rFont val="Symbol"/>
        <family val="1"/>
        <charset val="2"/>
      </rPr>
      <t>°</t>
    </r>
  </si>
  <si>
    <t>R нагрузочного режима, Ом</t>
  </si>
  <si>
    <t>КТ1   (Xуст)</t>
  </si>
  <si>
    <t>КТ2   (Rуст-fi_1)</t>
  </si>
  <si>
    <t>КТ3   (Rуст-fi_1)</t>
  </si>
  <si>
    <t>КТ4   (fi_2)</t>
  </si>
  <si>
    <t>КТ5   (fi_3)</t>
  </si>
  <si>
    <t>КТ6   (Rнагр)</t>
  </si>
  <si>
    <t>КТ7   (fi_нагр)</t>
  </si>
  <si>
    <t>Проверка наклона верхней части ХС</t>
  </si>
  <si>
    <t>Направл.</t>
  </si>
  <si>
    <t>Ток 10%-ой точности, А</t>
  </si>
  <si>
    <r>
      <t xml:space="preserve">I </t>
    </r>
    <r>
      <rPr>
        <sz val="8"/>
        <color indexed="8"/>
        <rFont val="Arial"/>
        <family val="2"/>
        <charset val="204"/>
      </rPr>
      <t>10%</t>
    </r>
  </si>
  <si>
    <t>КТ1   (Xуст ипф1)</t>
  </si>
  <si>
    <t>КТ2   (Rуст ипф-fi_1)</t>
  </si>
  <si>
    <t>КТ3   (Rуст ипф-fi_1)</t>
  </si>
  <si>
    <t>КТ4   (Xуст ипф)</t>
  </si>
  <si>
    <t>КТ5   (fi_2)</t>
  </si>
  <si>
    <t>Содержание:</t>
  </si>
  <si>
    <t>Примечание:</t>
  </si>
  <si>
    <t xml:space="preserve"> - поля для ввода уставок и значений срабатывания ИО</t>
  </si>
  <si>
    <r>
      <t xml:space="preserve">Дробные значения необходимо вводить ТОЛЬКО через "запятую" (пример: </t>
    </r>
    <r>
      <rPr>
        <b/>
        <sz val="10"/>
        <color indexed="10"/>
        <rFont val="Arial Cyr"/>
        <charset val="204"/>
      </rPr>
      <t>0</t>
    </r>
    <r>
      <rPr>
        <b/>
        <sz val="12"/>
        <color indexed="10"/>
        <rFont val="Arial Cyr"/>
        <charset val="204"/>
      </rPr>
      <t>,</t>
    </r>
    <r>
      <rPr>
        <b/>
        <sz val="10"/>
        <color indexed="10"/>
        <rFont val="Arial Cyr"/>
        <charset val="204"/>
      </rPr>
      <t>543</t>
    </r>
    <r>
      <rPr>
        <sz val="10"/>
        <color indexed="10"/>
        <rFont val="Arial Cyr"/>
        <charset val="204"/>
      </rPr>
      <t>).</t>
    </r>
  </si>
  <si>
    <t>Проверка ИО дистанционной защиты</t>
  </si>
  <si>
    <t>КТ4   (Rуст ипфк-fi_1)</t>
  </si>
  <si>
    <t>Оценка результатов:</t>
  </si>
  <si>
    <r>
      <rPr>
        <b/>
        <sz val="10"/>
        <color indexed="10"/>
        <rFont val="Arial Cyr"/>
        <charset val="204"/>
      </rPr>
      <t>!!!</t>
    </r>
    <r>
      <rPr>
        <sz val="10"/>
        <color indexed="10"/>
        <rFont val="Arial Cyr"/>
        <charset val="204"/>
      </rPr>
      <t xml:space="preserve"> Таблицу с результатами</t>
    </r>
  </si>
  <si>
    <t>проверки можно скопировать</t>
  </si>
  <si>
    <t>в протокол испытаний.</t>
  </si>
  <si>
    <t>Проверка характеристики реле сопротивления</t>
  </si>
  <si>
    <t>Проверка на мин. токе точной работы</t>
  </si>
  <si>
    <t>А</t>
  </si>
  <si>
    <t>Характеристика реле сопротивления</t>
  </si>
  <si>
    <t>2. Параметры проверки</t>
  </si>
  <si>
    <t>Порядок проверки:</t>
  </si>
  <si>
    <t>КТ10   (Xуст)</t>
  </si>
  <si>
    <t>КТ8   (fi_4)</t>
  </si>
  <si>
    <t>КТ9   (fi_4)</t>
  </si>
  <si>
    <t xml:space="preserve">Проверка характеристики РС выполняется по нескольким контрольным точкам (КТ). </t>
  </si>
  <si>
    <t>Проверка на минимальном токе точной работы выполняется аналогично проверке КТ1 при I = 10% Iном.</t>
  </si>
  <si>
    <r>
      <rPr>
        <sz val="12"/>
        <color indexed="8"/>
        <rFont val="Calibri"/>
        <family val="2"/>
        <charset val="204"/>
      </rPr>
      <t>I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sz val="9"/>
        <color indexed="8"/>
        <rFont val="Calibri"/>
        <family val="2"/>
        <charset val="204"/>
      </rPr>
      <t>10%</t>
    </r>
    <r>
      <rPr>
        <sz val="9"/>
        <color indexed="8"/>
        <rFont val="Calibri"/>
        <family val="2"/>
        <charset val="204"/>
      </rPr>
      <t xml:space="preserve"> </t>
    </r>
    <r>
      <rPr>
        <sz val="11"/>
        <color theme="1"/>
        <rFont val="Calibri"/>
        <family val="2"/>
        <charset val="204"/>
        <scheme val="minor"/>
      </rPr>
      <t>=</t>
    </r>
  </si>
  <si>
    <t>ИПФ А</t>
  </si>
  <si>
    <t>ИПФ В</t>
  </si>
  <si>
    <t>ИПФ С</t>
  </si>
  <si>
    <t>ИПФК А</t>
  </si>
  <si>
    <t>ИПФК В</t>
  </si>
  <si>
    <t>ИПФК С</t>
  </si>
  <si>
    <t>Uмф, В</t>
  </si>
  <si>
    <t>Uф, В</t>
  </si>
  <si>
    <t>Zипф, Ом</t>
  </si>
  <si>
    <t>fi_ипф, °</t>
  </si>
  <si>
    <t>Rипф, Ом</t>
  </si>
  <si>
    <t>Xипф, Ом</t>
  </si>
  <si>
    <t>Zф, Ом</t>
  </si>
  <si>
    <t>fi_ф, °</t>
  </si>
  <si>
    <t>Rф, Ом</t>
  </si>
  <si>
    <t>Xф, Ом</t>
  </si>
  <si>
    <t>Zипфк, Ом</t>
  </si>
  <si>
    <t>fi_ипфк, °</t>
  </si>
  <si>
    <t>Rипфк, Ом</t>
  </si>
  <si>
    <t>Xипфк, Ом</t>
  </si>
  <si>
    <t>Проверка характеристики реле сопротивления при КЗ на землю</t>
  </si>
  <si>
    <t>ось R_ипф</t>
  </si>
  <si>
    <t>ось X_ипф</t>
  </si>
  <si>
    <t>ось R_ипфк</t>
  </si>
  <si>
    <t>ось X_ипфк</t>
  </si>
  <si>
    <t>ось R_ф</t>
  </si>
  <si>
    <t>ось X_ф</t>
  </si>
  <si>
    <t>U_ф</t>
  </si>
  <si>
    <t>fi_ф</t>
  </si>
  <si>
    <t>Z_ф</t>
  </si>
  <si>
    <r>
      <t xml:space="preserve">fi_ф, </t>
    </r>
    <r>
      <rPr>
        <b/>
        <sz val="10"/>
        <color indexed="8"/>
        <rFont val="Symbol"/>
        <family val="1"/>
        <charset val="2"/>
      </rPr>
      <t>°</t>
    </r>
  </si>
  <si>
    <t>Zкз0, Ом</t>
  </si>
  <si>
    <t>fi_кз0, °</t>
  </si>
  <si>
    <t>Rкз0, Ом</t>
  </si>
  <si>
    <t>Xкз0, Ом</t>
  </si>
  <si>
    <t>ось R_кз0</t>
  </si>
  <si>
    <t>ось X_кз0</t>
  </si>
  <si>
    <t>Z А0</t>
  </si>
  <si>
    <t>Z В0</t>
  </si>
  <si>
    <t>Z С0</t>
  </si>
  <si>
    <t>Проверка на токе 10% точности:</t>
  </si>
  <si>
    <t>Zмф, Ом</t>
  </si>
  <si>
    <t>Rмф, Ом</t>
  </si>
  <si>
    <t>Xмф, Ом</t>
  </si>
  <si>
    <t>Iф, А</t>
  </si>
  <si>
    <t>|</t>
  </si>
  <si>
    <t>Iмф, А</t>
  </si>
  <si>
    <t>Zф</t>
  </si>
  <si>
    <t>точки</t>
  </si>
  <si>
    <t>КТ3   (Rуст ипфк-fi_1)</t>
  </si>
  <si>
    <t>Zкз0</t>
  </si>
  <si>
    <t>Обл. нагр.</t>
  </si>
  <si>
    <t>R_кз0</t>
  </si>
  <si>
    <t>X_кз0</t>
  </si>
  <si>
    <t>В режиме тестирования терминала на "Контрольный выход" конфигурируются сигналы ИО Z АN (ВN,СN).</t>
  </si>
  <si>
    <t>Выполняется подключение каналов тока и напряжения испытательной установки к цепям тока и напряжения "звезды"</t>
  </si>
  <si>
    <t>Затем, согласно п. "Действие", изменяется указанный параметр U или Z (в режиме ручной проверки РС) от исп. установки до сраб. ИО Z.</t>
  </si>
  <si>
    <t>В режиме тестирования терминала на "Контрольный выход" конфигурируются сигналы ИО Z АВ (ВС,СА).</t>
  </si>
  <si>
    <t>В режиме тестирования терминала на "Контрольный выход" конфигурируются сигналы ИО Zипф, Zипфк (А, В, С).</t>
  </si>
  <si>
    <t>АN</t>
  </si>
  <si>
    <t>ВN</t>
  </si>
  <si>
    <t>СN</t>
  </si>
  <si>
    <t>РС междуфазное</t>
  </si>
  <si>
    <t>РС при КЗ на землю</t>
  </si>
  <si>
    <t>ИПФ, ИПФК</t>
  </si>
  <si>
    <t>Теория ИПФ, ИПФК</t>
  </si>
  <si>
    <t>Теория РС при КЗ на землю</t>
  </si>
  <si>
    <t>Ненаправленное РС</t>
  </si>
  <si>
    <t>ООВП</t>
  </si>
  <si>
    <t>Проверка органа определяющего вид повреждения</t>
  </si>
  <si>
    <t>Проверка ИО изберателя фаз ОАПВ (ИПФ, ИПФК) для терминалов типа БЭ2704 521, 582.</t>
  </si>
  <si>
    <t>Проверка характеристики ненаправленного реле сопротивления</t>
  </si>
  <si>
    <t>k*Xуст</t>
  </si>
  <si>
    <t>Уставка по оси Х характеристики (охват 0), Ом</t>
  </si>
  <si>
    <t>КТ_ц</t>
  </si>
  <si>
    <t>КТ12</t>
  </si>
  <si>
    <t>КТ9_1</t>
  </si>
  <si>
    <t>КТ2   (Xуст ипфк)</t>
  </si>
  <si>
    <t>КТ6   (fi_3)</t>
  </si>
  <si>
    <t>КТ2   (Xуст)</t>
  </si>
  <si>
    <t>КТ4   (Rуст-fi_1)</t>
  </si>
  <si>
    <t>КТ1   (-k*Xуст)</t>
  </si>
  <si>
    <t>КТ5   (Rнагр_пв)   правый вырез</t>
  </si>
  <si>
    <t>КТ6   (fi_нагр_пв)   правый вырез</t>
  </si>
  <si>
    <t>КТ7   (Rнагр_лв)   левый вырез</t>
  </si>
  <si>
    <t>КТ8   (fi_нагр_лв)   левый вырез</t>
  </si>
  <si>
    <t>3_нагр</t>
  </si>
  <si>
    <t>7_нагр</t>
  </si>
  <si>
    <t>8_нагр</t>
  </si>
  <si>
    <t>2_нагр</t>
  </si>
  <si>
    <t>Нагр_граф</t>
  </si>
  <si>
    <t>Нагр_пров</t>
  </si>
  <si>
    <t>(правая)</t>
  </si>
  <si>
    <t>(левая)</t>
  </si>
  <si>
    <t>Коэффициент смещения характеристики</t>
  </si>
  <si>
    <t>Коэффициент смещения k</t>
  </si>
  <si>
    <t>R пв нагрузочного режима, Ом</t>
  </si>
  <si>
    <t>R лв нагрузочного режима, Ом</t>
  </si>
  <si>
    <t>k см</t>
  </si>
  <si>
    <t>-Xуст</t>
  </si>
  <si>
    <t>КТ_ц+</t>
  </si>
  <si>
    <t>КТ_ц-</t>
  </si>
  <si>
    <t>-Rуст</t>
  </si>
  <si>
    <t>Характеристика РС (внутр.)</t>
  </si>
  <si>
    <t>Характеристика РС (внеш.)</t>
  </si>
  <si>
    <t>Контрольные точки (внутр.)</t>
  </si>
  <si>
    <t>Контрольные точки (внеш.)</t>
  </si>
  <si>
    <t>Z внутр</t>
  </si>
  <si>
    <t>Z внеш</t>
  </si>
  <si>
    <t>∆Z</t>
  </si>
  <si>
    <r>
      <t xml:space="preserve"> </t>
    </r>
    <r>
      <rPr>
        <sz val="10"/>
        <color indexed="8"/>
        <rFont val="Wingdings 3"/>
        <family val="1"/>
        <charset val="2"/>
      </rPr>
      <t>r</t>
    </r>
  </si>
  <si>
    <t>Зона срабатывания dZ/dt, Ом</t>
  </si>
  <si>
    <t>Номинальный ток терминала, А</t>
  </si>
  <si>
    <t>Iном</t>
  </si>
  <si>
    <t>Ток проверки (ток КЗ), А</t>
  </si>
  <si>
    <t>Iпров (Iкз)</t>
  </si>
  <si>
    <t>Велич.сраб.</t>
  </si>
  <si>
    <t>1 зона</t>
  </si>
  <si>
    <t>2 зона</t>
  </si>
  <si>
    <t>нагрузка</t>
  </si>
  <si>
    <t>КТ</t>
  </si>
  <si>
    <t>Сраб. ИО</t>
  </si>
  <si>
    <t>KT в зоне</t>
  </si>
  <si>
    <t xml:space="preserve">fi -&gt; </t>
  </si>
  <si>
    <t>внутр.</t>
  </si>
  <si>
    <t>внешн.</t>
  </si>
  <si>
    <t>КТ1   (Xуст внеш)</t>
  </si>
  <si>
    <t>КТ2   (Xуст внутр)</t>
  </si>
  <si>
    <t>КТ3   (Rуст внеш)</t>
  </si>
  <si>
    <t>КТ4   (Rуст внутр)</t>
  </si>
  <si>
    <t>КТ5   (fi_1 внеш)</t>
  </si>
  <si>
    <t>КТ6   (fi_1 внутр)</t>
  </si>
  <si>
    <t>В режиме тестирования терминала на "Контрольный выход" конфигурируется сигнал ИО dZ/dt.</t>
  </si>
  <si>
    <t xml:space="preserve">Проверка характеристики dZ/dt (внешней и внутренней) выполняется по нескольким контрольным точкам (КТ). </t>
  </si>
  <si>
    <t>до срабатывания ИО dZ/dt (внешняя граница зоны срабатывания), затем до возврата (внутреняя граница зоны срабатывания).</t>
  </si>
  <si>
    <t>Затем, согласно п. "Действие", изменяется указанный параметр U или Z (в режиме ручной проверки РС) от исп. установки сначала</t>
  </si>
  <si>
    <t>Проверка выполняется для всех контрольных точек. Значения сраб. и возвр. записываются в столбец "Величина срабатывания".</t>
  </si>
  <si>
    <t>Z, Ом</t>
  </si>
  <si>
    <t>U, В</t>
  </si>
  <si>
    <t>I, А</t>
  </si>
  <si>
    <t>Проверка характеристики БК dZ/dt</t>
  </si>
  <si>
    <t>БК dZ_dt</t>
  </si>
  <si>
    <t>Описаны выражения по котрым производится расчет ИО ИПФ, ИПФК</t>
  </si>
  <si>
    <t>Описаны выражения по котрым производится расчет РС при КЗ на землю</t>
  </si>
  <si>
    <t>Проверка междуфазных ИО РС с полигональной характеристикой</t>
  </si>
  <si>
    <t>Проверка пофазных ИО РС при КЗ на землю с полигональной характеристикой</t>
  </si>
  <si>
    <t>Проверка междуфазных ИО ненаправленных РС с полигональной характеристикой</t>
  </si>
  <si>
    <t>Уставки  - берутся по стороне 1</t>
  </si>
  <si>
    <t>Конечные значения</t>
  </si>
  <si>
    <t>Ток сраб.</t>
  </si>
  <si>
    <t>â</t>
  </si>
  <si>
    <t>!!!</t>
  </si>
  <si>
    <t>Напряжение срабатывания ПО РННП, В</t>
  </si>
  <si>
    <t>Ucp ПО РННП</t>
  </si>
  <si>
    <t>Ток срабатывания 3Io ПО РТНП, А</t>
  </si>
  <si>
    <t>Icp ПО РТНП</t>
  </si>
  <si>
    <t>Коэффициент торможения ПО РТНП, о.е.</t>
  </si>
  <si>
    <t>Кт ПО РТНП</t>
  </si>
  <si>
    <t>Ток срабатывания ПО БТ, А</t>
  </si>
  <si>
    <t>Icp ПО БТ</t>
  </si>
  <si>
    <r>
      <t>3I</t>
    </r>
    <r>
      <rPr>
        <sz val="8"/>
        <rFont val="Arial"/>
        <family val="2"/>
        <charset val="204"/>
      </rPr>
      <t>0</t>
    </r>
  </si>
  <si>
    <r>
      <t>I</t>
    </r>
    <r>
      <rPr>
        <sz val="8"/>
        <rFont val="Arial"/>
        <family val="2"/>
        <charset val="204"/>
      </rPr>
      <t>TФ</t>
    </r>
  </si>
  <si>
    <t>Icp ПО РННП</t>
  </si>
  <si>
    <t>IТ</t>
  </si>
  <si>
    <r>
      <t>* I</t>
    </r>
    <r>
      <rPr>
        <sz val="8"/>
        <rFont val="Arial"/>
        <family val="2"/>
        <charset val="204"/>
      </rPr>
      <t>Т0</t>
    </r>
  </si>
  <si>
    <r>
      <t>* I</t>
    </r>
    <r>
      <rPr>
        <sz val="8"/>
        <rFont val="Arial"/>
        <family val="2"/>
        <charset val="204"/>
      </rPr>
      <t>T0</t>
    </r>
  </si>
  <si>
    <r>
      <t>* (I</t>
    </r>
    <r>
      <rPr>
        <sz val="8"/>
        <rFont val="Arial"/>
        <family val="2"/>
        <charset val="204"/>
      </rPr>
      <t>БТ</t>
    </r>
    <r>
      <rPr>
        <sz val="10"/>
        <rFont val="Arial"/>
        <family val="2"/>
        <charset val="204"/>
      </rPr>
      <t>- I</t>
    </r>
    <r>
      <rPr>
        <sz val="8"/>
        <rFont val="Arial"/>
        <family val="2"/>
        <charset val="204"/>
      </rPr>
      <t>T0</t>
    </r>
    <r>
      <rPr>
        <sz val="10"/>
        <rFont val="Arial"/>
        <family val="2"/>
        <charset val="204"/>
      </rPr>
      <t>) + I</t>
    </r>
    <r>
      <rPr>
        <sz val="8"/>
        <rFont val="Arial"/>
        <family val="2"/>
        <charset val="204"/>
      </rPr>
      <t>T0</t>
    </r>
  </si>
  <si>
    <t>ПО</t>
  </si>
  <si>
    <t>РННП</t>
  </si>
  <si>
    <t>РТНП</t>
  </si>
  <si>
    <t>БТ</t>
  </si>
  <si>
    <t>Уставка 3I0, А</t>
  </si>
  <si>
    <t>Параметр</t>
  </si>
  <si>
    <t>Результат проверки</t>
  </si>
  <si>
    <r>
      <t>I</t>
    </r>
    <r>
      <rPr>
        <b/>
        <vertAlign val="subscript"/>
        <sz val="10"/>
        <color indexed="8"/>
        <rFont val="Arial Narrow"/>
        <family val="2"/>
        <charset val="204"/>
      </rPr>
      <t>Т.Ф.</t>
    </r>
    <r>
      <rPr>
        <b/>
        <sz val="10"/>
        <color indexed="8"/>
        <rFont val="Arial Narrow"/>
        <family val="2"/>
        <charset val="204"/>
      </rPr>
      <t>, А</t>
    </r>
  </si>
  <si>
    <r>
      <t>3I</t>
    </r>
    <r>
      <rPr>
        <b/>
        <vertAlign val="subscript"/>
        <sz val="10"/>
        <color indexed="8"/>
        <rFont val="Arial Narrow"/>
        <family val="2"/>
        <charset val="204"/>
      </rPr>
      <t>0</t>
    </r>
    <r>
      <rPr>
        <b/>
        <sz val="10"/>
        <color indexed="8"/>
        <rFont val="Arial Narrow"/>
        <family val="2"/>
        <charset val="204"/>
      </rPr>
      <t>, А</t>
    </r>
  </si>
  <si>
    <r>
      <t>Погреш-ность 3I</t>
    </r>
    <r>
      <rPr>
        <b/>
        <vertAlign val="subscript"/>
        <sz val="10"/>
        <color indexed="8"/>
        <rFont val="Arial Narrow"/>
        <family val="2"/>
        <charset val="204"/>
      </rPr>
      <t>0</t>
    </r>
    <r>
      <rPr>
        <b/>
        <sz val="10"/>
        <color indexed="8"/>
        <rFont val="Arial Narrow"/>
        <family val="2"/>
        <charset val="204"/>
      </rPr>
      <t>, %</t>
    </r>
  </si>
  <si>
    <r>
      <t>К</t>
    </r>
    <r>
      <rPr>
        <b/>
        <vertAlign val="subscript"/>
        <sz val="10"/>
        <color indexed="8"/>
        <rFont val="Arial Narrow"/>
        <family val="2"/>
        <charset val="204"/>
      </rPr>
      <t>т</t>
    </r>
  </si>
  <si>
    <r>
      <t>Погреш-ность К</t>
    </r>
    <r>
      <rPr>
        <b/>
        <vertAlign val="subscript"/>
        <sz val="10"/>
        <color indexed="8"/>
        <rFont val="Arial Narrow"/>
        <family val="2"/>
        <charset val="204"/>
      </rPr>
      <t>т</t>
    </r>
    <r>
      <rPr>
        <b/>
        <sz val="10"/>
        <color indexed="8"/>
        <rFont val="Arial Narrow"/>
        <family val="2"/>
        <charset val="204"/>
      </rPr>
      <t>, %</t>
    </r>
  </si>
  <si>
    <t>Орган определения вида повреждения</t>
  </si>
  <si>
    <t>1. Уставки ООВП</t>
  </si>
  <si>
    <t>Характеристика ПО РТНП</t>
  </si>
  <si>
    <t>Ручная проверка характеристики ПО РТНП</t>
  </si>
  <si>
    <r>
      <t xml:space="preserve">при условии, что изменяется ТОЛЬКО величина тока одной фазы (Iф1 </t>
    </r>
    <r>
      <rPr>
        <sz val="10"/>
        <color indexed="10"/>
        <rFont val="Calibri"/>
        <family val="2"/>
        <charset val="204"/>
      </rPr>
      <t>≠</t>
    </r>
    <r>
      <rPr>
        <sz val="10"/>
        <color indexed="10"/>
        <rFont val="Arial Cyr"/>
        <charset val="204"/>
      </rPr>
      <t xml:space="preserve"> const),</t>
    </r>
  </si>
  <si>
    <t>а величины токов в остальных двух фазах равны и неизменны (Iф2=Iф3=const).</t>
  </si>
  <si>
    <t>AN</t>
  </si>
  <si>
    <t>BN</t>
  </si>
  <si>
    <t>CN</t>
  </si>
  <si>
    <r>
      <t xml:space="preserve">Проверка </t>
    </r>
    <r>
      <rPr>
        <b/>
        <sz val="11"/>
        <color indexed="8"/>
        <rFont val="Wingdings 3"/>
        <family val="1"/>
        <charset val="2"/>
      </rPr>
      <t>r</t>
    </r>
    <r>
      <rPr>
        <b/>
        <sz val="11"/>
        <color indexed="8"/>
        <rFont val="Arial"/>
        <family val="2"/>
        <charset val="204"/>
      </rPr>
      <t>R и φ1</t>
    </r>
  </si>
  <si>
    <r>
      <t xml:space="preserve">Проверка </t>
    </r>
    <r>
      <rPr>
        <b/>
        <sz val="11"/>
        <color indexed="8"/>
        <rFont val="Wingdings 3"/>
        <family val="1"/>
        <charset val="2"/>
      </rPr>
      <t>r</t>
    </r>
    <r>
      <rPr>
        <b/>
        <sz val="11"/>
        <color indexed="8"/>
        <rFont val="Arial"/>
        <family val="2"/>
        <charset val="204"/>
      </rPr>
      <t>X</t>
    </r>
  </si>
  <si>
    <r>
      <rPr>
        <sz val="12"/>
        <color indexed="8"/>
        <rFont val="Arial"/>
        <family val="2"/>
        <charset val="204"/>
      </rPr>
      <t>I</t>
    </r>
    <r>
      <rPr>
        <sz val="11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10% </t>
    </r>
    <r>
      <rPr>
        <sz val="11"/>
        <color indexed="8"/>
        <rFont val="Arial"/>
        <family val="2"/>
        <charset val="204"/>
      </rPr>
      <t>=</t>
    </r>
  </si>
  <si>
    <t>Проверка ПО РННП</t>
  </si>
  <si>
    <t>Проверка ПО РТНП</t>
  </si>
  <si>
    <t>Проверка ПО БТ</t>
  </si>
  <si>
    <t>I т.ф. =</t>
  </si>
  <si>
    <t>КТ3   (торможение)</t>
  </si>
  <si>
    <t>КТ4   (торможение)</t>
  </si>
  <si>
    <t>КТ2   (без торможения)</t>
  </si>
  <si>
    <t>КТ1   (без торможения)</t>
  </si>
  <si>
    <t>Подав. напряжение фазы</t>
  </si>
  <si>
    <t>Погр, %</t>
  </si>
  <si>
    <t>Uф  =</t>
  </si>
  <si>
    <t>Iф  =</t>
  </si>
  <si>
    <r>
      <t>U</t>
    </r>
    <r>
      <rPr>
        <vertAlign val="subscript"/>
        <sz val="10"/>
        <rFont val="Arial"/>
        <family val="2"/>
        <charset val="204"/>
      </rPr>
      <t>УСТ</t>
    </r>
    <r>
      <rPr>
        <sz val="10"/>
        <rFont val="Arial"/>
        <family val="2"/>
        <charset val="204"/>
      </rPr>
      <t>, В</t>
    </r>
  </si>
  <si>
    <r>
      <t>U</t>
    </r>
    <r>
      <rPr>
        <vertAlign val="subscript"/>
        <sz val="10"/>
        <rFont val="Arial"/>
        <family val="2"/>
        <charset val="204"/>
      </rPr>
      <t>Ф СР</t>
    </r>
    <r>
      <rPr>
        <sz val="10"/>
        <rFont val="Arial"/>
        <family val="2"/>
        <charset val="204"/>
      </rPr>
      <t>, B</t>
    </r>
  </si>
  <si>
    <r>
      <t>U</t>
    </r>
    <r>
      <rPr>
        <vertAlign val="subscript"/>
        <sz val="10"/>
        <rFont val="Arial"/>
        <family val="2"/>
        <charset val="204"/>
      </rPr>
      <t>CP</t>
    </r>
    <r>
      <rPr>
        <sz val="10"/>
        <rFont val="Arial"/>
        <family val="2"/>
        <charset val="204"/>
      </rPr>
      <t>=√3U</t>
    </r>
    <r>
      <rPr>
        <vertAlign val="subscript"/>
        <sz val="10"/>
        <rFont val="Arial"/>
        <family val="2"/>
        <charset val="204"/>
      </rPr>
      <t>Ф CР</t>
    </r>
    <r>
      <rPr>
        <sz val="10"/>
        <rFont val="Arial"/>
        <family val="2"/>
        <charset val="204"/>
      </rPr>
      <t>, B</t>
    </r>
  </si>
  <si>
    <r>
      <t>U</t>
    </r>
    <r>
      <rPr>
        <vertAlign val="subscript"/>
        <sz val="10"/>
        <rFont val="Arial"/>
        <family val="2"/>
        <charset val="204"/>
      </rPr>
      <t>B</t>
    </r>
    <r>
      <rPr>
        <sz val="10"/>
        <rFont val="Arial"/>
        <family val="2"/>
        <charset val="204"/>
      </rPr>
      <t>=√3U</t>
    </r>
    <r>
      <rPr>
        <vertAlign val="subscript"/>
        <sz val="10"/>
        <rFont val="Arial"/>
        <family val="2"/>
        <charset val="204"/>
      </rPr>
      <t>Ф B</t>
    </r>
    <r>
      <rPr>
        <sz val="10"/>
        <rFont val="Arial"/>
        <family val="2"/>
        <charset val="204"/>
      </rPr>
      <t>, B</t>
    </r>
  </si>
  <si>
    <r>
      <t>U</t>
    </r>
    <r>
      <rPr>
        <vertAlign val="subscript"/>
        <sz val="10"/>
        <rFont val="Arial"/>
        <family val="2"/>
        <charset val="204"/>
      </rPr>
      <t>B</t>
    </r>
    <r>
      <rPr>
        <sz val="10"/>
        <rFont val="Arial"/>
        <family val="2"/>
        <charset val="204"/>
      </rPr>
      <t>, B</t>
    </r>
  </si>
  <si>
    <r>
      <t>K</t>
    </r>
    <r>
      <rPr>
        <vertAlign val="subscript"/>
        <sz val="10"/>
        <rFont val="Arial"/>
        <family val="2"/>
        <charset val="204"/>
      </rPr>
      <t>В</t>
    </r>
  </si>
  <si>
    <r>
      <t>I</t>
    </r>
    <r>
      <rPr>
        <vertAlign val="subscript"/>
        <sz val="10"/>
        <rFont val="Arial"/>
        <family val="2"/>
        <charset val="204"/>
      </rPr>
      <t>УСТ</t>
    </r>
    <r>
      <rPr>
        <sz val="10"/>
        <rFont val="Arial"/>
        <family val="2"/>
        <charset val="204"/>
      </rPr>
      <t>, В</t>
    </r>
  </si>
  <si>
    <r>
      <t>I</t>
    </r>
    <r>
      <rPr>
        <vertAlign val="subscript"/>
        <sz val="10"/>
        <rFont val="Arial"/>
        <family val="2"/>
        <charset val="204"/>
      </rPr>
      <t>Ф СР</t>
    </r>
    <r>
      <rPr>
        <sz val="10"/>
        <rFont val="Arial"/>
        <family val="2"/>
        <charset val="204"/>
      </rPr>
      <t>, B</t>
    </r>
  </si>
  <si>
    <r>
      <t>I</t>
    </r>
    <r>
      <rPr>
        <vertAlign val="subscript"/>
        <sz val="10"/>
        <rFont val="Arial"/>
        <family val="2"/>
        <charset val="204"/>
      </rPr>
      <t>B</t>
    </r>
    <r>
      <rPr>
        <sz val="10"/>
        <rFont val="Arial"/>
        <family val="2"/>
        <charset val="204"/>
      </rPr>
      <t>, B</t>
    </r>
  </si>
  <si>
    <t>3I0</t>
  </si>
  <si>
    <t>ITФ</t>
  </si>
  <si>
    <t>Iф2=Iф3=const</t>
  </si>
  <si>
    <r>
      <t>I</t>
    </r>
    <r>
      <rPr>
        <sz val="10"/>
        <rFont val="Arial"/>
        <family val="2"/>
        <charset val="204"/>
      </rPr>
      <t>TФ</t>
    </r>
  </si>
  <si>
    <r>
      <t>Iф1</t>
    </r>
    <r>
      <rPr>
        <sz val="12"/>
        <rFont val="Calibri"/>
        <family val="2"/>
        <charset val="204"/>
      </rPr>
      <t>≠</t>
    </r>
    <r>
      <rPr>
        <sz val="12"/>
        <rFont val="Arial Cyr"/>
        <charset val="204"/>
      </rPr>
      <t>const</t>
    </r>
  </si>
  <si>
    <t>и не подлежит изменению.</t>
  </si>
  <si>
    <t>Хар-ка ПО РТНП</t>
  </si>
  <si>
    <t>Характеристика ПО РТНП с торможением</t>
  </si>
  <si>
    <t>КТ1   (срабатывание)</t>
  </si>
  <si>
    <t>КТ2   (возврат)</t>
  </si>
  <si>
    <t>увеличить ток до</t>
  </si>
  <si>
    <t>уменьшить ток до</t>
  </si>
  <si>
    <t>Подав. ток фазы</t>
  </si>
  <si>
    <r>
      <t>I</t>
    </r>
    <r>
      <rPr>
        <vertAlign val="subscript"/>
        <sz val="10"/>
        <rFont val="Arial"/>
        <family val="2"/>
        <charset val="204"/>
      </rPr>
      <t xml:space="preserve"> СР</t>
    </r>
    <r>
      <rPr>
        <sz val="10"/>
        <rFont val="Arial"/>
        <family val="2"/>
        <charset val="204"/>
      </rPr>
      <t>, B</t>
    </r>
  </si>
  <si>
    <t>увеличить напряжение</t>
  </si>
  <si>
    <t>уменьшить напряжение</t>
  </si>
  <si>
    <t>Возврат</t>
  </si>
  <si>
    <t>Проверка характеристики ПО РТНП</t>
  </si>
  <si>
    <t>Проверка параметров срабатывания и возврата ПО РННП</t>
  </si>
  <si>
    <t>Проверка параметров срабатывания и возврата ПО БТ</t>
  </si>
  <si>
    <t>Проверка параметров срабатывания и возврата ПО РТНП</t>
  </si>
  <si>
    <t>Сраб.</t>
  </si>
  <si>
    <t>Погр., %</t>
  </si>
  <si>
    <t>Проверка параметров срабатывания и возврата ПО (общая, по фазе А)</t>
  </si>
  <si>
    <r>
      <t>K</t>
    </r>
    <r>
      <rPr>
        <b/>
        <vertAlign val="subscript"/>
        <sz val="10"/>
        <color indexed="8"/>
        <rFont val="Arial"/>
        <family val="2"/>
        <charset val="204"/>
      </rPr>
      <t>В</t>
    </r>
  </si>
  <si>
    <r>
      <t>Уставка 3I</t>
    </r>
    <r>
      <rPr>
        <b/>
        <vertAlign val="subscript"/>
        <sz val="10"/>
        <color indexed="8"/>
        <rFont val="Arial"/>
        <family val="2"/>
        <charset val="204"/>
      </rPr>
      <t>0</t>
    </r>
    <r>
      <rPr>
        <b/>
        <sz val="10"/>
        <color indexed="8"/>
        <rFont val="Arial"/>
        <family val="2"/>
        <charset val="204"/>
      </rPr>
      <t>, А</t>
    </r>
  </si>
  <si>
    <r>
      <t>3I</t>
    </r>
    <r>
      <rPr>
        <b/>
        <vertAlign val="subscript"/>
        <sz val="10"/>
        <color indexed="8"/>
        <rFont val="Arial"/>
        <family val="2"/>
        <charset val="204"/>
      </rPr>
      <t>0</t>
    </r>
    <r>
      <rPr>
        <b/>
        <sz val="10"/>
        <color indexed="8"/>
        <rFont val="Arial"/>
        <family val="2"/>
        <charset val="204"/>
      </rPr>
      <t>, А</t>
    </r>
  </si>
  <si>
    <r>
      <t>I</t>
    </r>
    <r>
      <rPr>
        <b/>
        <vertAlign val="subscript"/>
        <sz val="10"/>
        <color indexed="8"/>
        <rFont val="Arial"/>
        <family val="2"/>
        <charset val="204"/>
      </rPr>
      <t>Т.Ф.</t>
    </r>
    <r>
      <rPr>
        <b/>
        <sz val="10"/>
        <color indexed="8"/>
        <rFont val="Arial"/>
        <family val="2"/>
        <charset val="204"/>
      </rPr>
      <t>, А</t>
    </r>
  </si>
  <si>
    <r>
      <t>Уставка К</t>
    </r>
    <r>
      <rPr>
        <b/>
        <vertAlign val="subscript"/>
        <sz val="10"/>
        <color indexed="8"/>
        <rFont val="Arial"/>
        <family val="2"/>
        <charset val="204"/>
      </rPr>
      <t>т</t>
    </r>
  </si>
  <si>
    <r>
      <t>К</t>
    </r>
    <r>
      <rPr>
        <b/>
        <vertAlign val="subscript"/>
        <sz val="10"/>
        <color indexed="8"/>
        <rFont val="Arial"/>
        <family val="2"/>
        <charset val="204"/>
      </rPr>
      <t>т</t>
    </r>
  </si>
  <si>
    <t>Усл.сраб.</t>
  </si>
  <si>
    <t>Проврка хар-ки ПО РТНП выполняется в режиме одно- и двухфазного КЗ</t>
  </si>
  <si>
    <t>Для проверки однофазных ИО РС при КЗ на землю необходимо изменить параметры испытательной установки:</t>
  </si>
  <si>
    <t>Начальное значение</t>
  </si>
  <si>
    <r>
      <t>Погр. 3I</t>
    </r>
    <r>
      <rPr>
        <b/>
        <vertAlign val="subscript"/>
        <sz val="10"/>
        <color indexed="8"/>
        <rFont val="Arial"/>
        <family val="2"/>
        <charset val="204"/>
      </rPr>
      <t>0</t>
    </r>
    <r>
      <rPr>
        <b/>
        <sz val="10"/>
        <color indexed="8"/>
        <rFont val="Arial"/>
        <family val="2"/>
        <charset val="204"/>
      </rPr>
      <t>, %</t>
    </r>
  </si>
  <si>
    <r>
      <t>Погр. К</t>
    </r>
    <r>
      <rPr>
        <b/>
        <vertAlign val="subscript"/>
        <sz val="10"/>
        <color indexed="8"/>
        <rFont val="Arial"/>
        <family val="2"/>
        <charset val="204"/>
      </rPr>
      <t xml:space="preserve">т </t>
    </r>
    <r>
      <rPr>
        <b/>
        <sz val="10"/>
        <color indexed="8"/>
        <rFont val="Arial"/>
        <family val="2"/>
        <charset val="204"/>
      </rPr>
      <t>, %</t>
    </r>
  </si>
  <si>
    <t>Выполняется подключение каналов тока и напряжения испытательной установки к цепям тока и напряжения "звезды".</t>
  </si>
  <si>
    <t>В режиме тестирования терминала на "Контрольный выход" поочередно конфигурируется сигналы ПО ООВП.</t>
  </si>
  <si>
    <t>Проверка ПО РННП: подается фазное напряжение, согласно п. "нач. значения", затем, согласно п. "Действие", изменяется до сраб. или возврата.</t>
  </si>
  <si>
    <t xml:space="preserve">Проверка хар-ки ПО РТНП: подается трехфазный ток ("звезда"), согласно п. "нач. значения", затем, согласно п. "Действие", </t>
  </si>
  <si>
    <t>изменяется значение одной фазы до срабатывания.</t>
  </si>
  <si>
    <t>Проверка ПО РТНП: подается фазный ток, согласно п. "нач. значения", затем, согласно п. "Действие", изменяется до сраб. или возврата.</t>
  </si>
  <si>
    <t>Проверка ПО БТ: подается трехфазный ток ("звезда"), согласно п. "нач. значения", затем, согласно п. "Действие", изменяется до сраб. или возвр.</t>
  </si>
  <si>
    <t>Проверка ИО сопротивления блокировки при качаниях</t>
  </si>
  <si>
    <t>Параметры линии</t>
  </si>
  <si>
    <t>Проверка характеристики ИПФ, ИПФК</t>
  </si>
  <si>
    <t>)</t>
  </si>
  <si>
    <t>Xуст ипфк1</t>
  </si>
  <si>
    <t>Смещение по оси X Zипфк1, %</t>
  </si>
  <si>
    <t>КТ1   (Xуст ипфк * Kсм)</t>
  </si>
  <si>
    <t>Смещение хар-ки ИПФК по X, Ом</t>
  </si>
  <si>
    <t>Xипфк*Kсм</t>
  </si>
  <si>
    <t>ТЕХНИЧЕСКАЯ ПОДДЕРЖКА</t>
  </si>
  <si>
    <t>(отдел наладки и сервиса)</t>
  </si>
  <si>
    <t xml:space="preserve">телефон: </t>
  </si>
  <si>
    <t>8 (8352) 220-113</t>
  </si>
  <si>
    <t xml:space="preserve">эл.почта: </t>
  </si>
  <si>
    <t>support@ekra.ru</t>
  </si>
  <si>
    <t>История изменений:</t>
  </si>
  <si>
    <t>MR0 с //ВЛ</t>
  </si>
  <si>
    <t>MХ0 с //ВЛ</t>
  </si>
  <si>
    <t>MR0 // линии (втор.), Ом/км</t>
  </si>
  <si>
    <t>MX0 // линии (втор.), Ом/км</t>
  </si>
  <si>
    <t>на итоговую погрешность ИО Z АN (ВN,СN).</t>
  </si>
  <si>
    <t>Параметры MR0 и MX0 должны иметь минимальные значения, чтобы исключить влияние токов, возникающих в канале "3I0 // линии",</t>
  </si>
  <si>
    <t>Параметры линии MR0 и MX0 должны иметь минимальные значения, чтобы исключить влияние токов, возникающих в канале "3I0 // линии",</t>
  </si>
  <si>
    <t>на итоговую погрешность ИО Zипф, Zипфк.</t>
  </si>
  <si>
    <t>Шаблон проверки измерительных органов дистанционных защит для терминалов типа БЭ2704.</t>
  </si>
  <si>
    <t>Проверочная точка</t>
  </si>
  <si>
    <t>Проверочная точка ИПФ</t>
  </si>
  <si>
    <t>Проверочная точка ИПФК</t>
  </si>
  <si>
    <r>
      <rPr>
        <b/>
        <sz val="10"/>
        <color indexed="10"/>
        <rFont val="Arial Cyr"/>
        <charset val="204"/>
      </rPr>
      <t>Err</t>
    </r>
    <r>
      <rPr>
        <sz val="10"/>
        <color indexed="10"/>
        <rFont val="Arial Cyr"/>
        <charset val="204"/>
      </rPr>
      <t xml:space="preserve"> </t>
    </r>
    <r>
      <rPr>
        <sz val="10"/>
        <rFont val="Arial Cyr"/>
        <charset val="204"/>
      </rPr>
      <t>- обозначение ошибки в пункте (несоответствие типа данных, значение вне диапазона и т.п.).</t>
    </r>
  </si>
  <si>
    <t>Отображается рядом с полем для ввода данных.</t>
  </si>
  <si>
    <r>
      <t>Смещение по оси X Zипф1 |</t>
    </r>
    <r>
      <rPr>
        <b/>
        <sz val="10"/>
        <rFont val="Arial"/>
        <family val="2"/>
        <charset val="204"/>
      </rPr>
      <t xml:space="preserve"> Zипфк1</t>
    </r>
    <r>
      <rPr>
        <b/>
        <sz val="10"/>
        <color indexed="8"/>
        <rFont val="Arial"/>
        <family val="2"/>
        <charset val="204"/>
      </rPr>
      <t>, Ом</t>
    </r>
  </si>
  <si>
    <t>&lt; 5</t>
  </si>
  <si>
    <t xml:space="preserve">&lt; 5 </t>
  </si>
  <si>
    <t>&lt; 10</t>
  </si>
  <si>
    <r>
      <t>φ</t>
    </r>
    <r>
      <rPr>
        <b/>
        <vertAlign val="subscript"/>
        <sz val="10"/>
        <color indexed="8"/>
        <rFont val="Arial"/>
        <family val="2"/>
        <charset val="204"/>
      </rPr>
      <t>1</t>
    </r>
    <r>
      <rPr>
        <b/>
        <sz val="10"/>
        <color indexed="8"/>
        <rFont val="Arial"/>
        <family val="2"/>
        <charset val="204"/>
      </rPr>
      <t>, °</t>
    </r>
  </si>
  <si>
    <r>
      <t>φ</t>
    </r>
    <r>
      <rPr>
        <b/>
        <vertAlign val="subscript"/>
        <sz val="10"/>
        <color indexed="8"/>
        <rFont val="Arial"/>
        <family val="2"/>
        <charset val="204"/>
      </rPr>
      <t>2</t>
    </r>
    <r>
      <rPr>
        <b/>
        <sz val="10"/>
        <color indexed="8"/>
        <rFont val="Arial"/>
        <family val="2"/>
        <charset val="204"/>
      </rPr>
      <t>, °</t>
    </r>
  </si>
  <si>
    <r>
      <t>φ</t>
    </r>
    <r>
      <rPr>
        <b/>
        <vertAlign val="subscript"/>
        <sz val="10"/>
        <color indexed="8"/>
        <rFont val="Arial"/>
        <family val="2"/>
        <charset val="204"/>
      </rPr>
      <t>3</t>
    </r>
    <r>
      <rPr>
        <b/>
        <sz val="10"/>
        <color indexed="8"/>
        <rFont val="Arial"/>
        <family val="2"/>
        <charset val="204"/>
      </rPr>
      <t>, °</t>
    </r>
  </si>
  <si>
    <r>
      <t>Погрешность φ</t>
    </r>
    <r>
      <rPr>
        <vertAlign val="subscript"/>
        <sz val="10"/>
        <color indexed="8"/>
        <rFont val="Arial"/>
        <family val="2"/>
        <charset val="204"/>
      </rPr>
      <t>1</t>
    </r>
    <r>
      <rPr>
        <sz val="10"/>
        <color indexed="8"/>
        <rFont val="Arial"/>
        <family val="2"/>
        <charset val="204"/>
      </rPr>
      <t>, °</t>
    </r>
  </si>
  <si>
    <r>
      <t>Погрешность φ</t>
    </r>
    <r>
      <rPr>
        <vertAlign val="subscript"/>
        <sz val="10"/>
        <color indexed="8"/>
        <rFont val="Arial"/>
        <family val="2"/>
        <charset val="204"/>
      </rPr>
      <t>2</t>
    </r>
    <r>
      <rPr>
        <sz val="10"/>
        <color indexed="8"/>
        <rFont val="Arial"/>
        <family val="2"/>
        <charset val="204"/>
      </rPr>
      <t>, °</t>
    </r>
  </si>
  <si>
    <r>
      <t>Погрешность φ</t>
    </r>
    <r>
      <rPr>
        <vertAlign val="subscript"/>
        <sz val="10"/>
        <color indexed="8"/>
        <rFont val="Arial"/>
        <family val="2"/>
        <charset val="204"/>
      </rPr>
      <t>3</t>
    </r>
    <r>
      <rPr>
        <sz val="10"/>
        <color indexed="8"/>
        <rFont val="Arial"/>
        <family val="2"/>
        <charset val="204"/>
      </rPr>
      <t>, °</t>
    </r>
  </si>
  <si>
    <r>
      <t>φ</t>
    </r>
    <r>
      <rPr>
        <b/>
        <vertAlign val="subscript"/>
        <sz val="10"/>
        <color indexed="8"/>
        <rFont val="Arial"/>
        <family val="2"/>
        <charset val="204"/>
      </rPr>
      <t>4</t>
    </r>
    <r>
      <rPr>
        <b/>
        <sz val="10"/>
        <color indexed="8"/>
        <rFont val="Arial"/>
        <family val="2"/>
        <charset val="204"/>
      </rPr>
      <t>, °</t>
    </r>
  </si>
  <si>
    <r>
      <t>Погрешность φ</t>
    </r>
    <r>
      <rPr>
        <vertAlign val="subscript"/>
        <sz val="10"/>
        <color indexed="8"/>
        <rFont val="Arial"/>
        <family val="2"/>
        <charset val="204"/>
      </rPr>
      <t>4</t>
    </r>
    <r>
      <rPr>
        <sz val="10"/>
        <color indexed="8"/>
        <rFont val="Arial"/>
        <family val="2"/>
        <charset val="204"/>
      </rPr>
      <t>, °</t>
    </r>
  </si>
  <si>
    <r>
      <t>φ нагрузочного режима</t>
    </r>
    <r>
      <rPr>
        <b/>
        <sz val="10"/>
        <color indexed="8"/>
        <rFont val="Arial"/>
        <family val="2"/>
        <charset val="204"/>
      </rPr>
      <t>, °</t>
    </r>
  </si>
  <si>
    <r>
      <t>Погрешность φ</t>
    </r>
    <r>
      <rPr>
        <vertAlign val="subscript"/>
        <sz val="10"/>
        <color indexed="8"/>
        <rFont val="Arial"/>
        <family val="2"/>
        <charset val="204"/>
      </rPr>
      <t>нагр</t>
    </r>
    <r>
      <rPr>
        <sz val="10"/>
        <color indexed="8"/>
        <rFont val="Arial"/>
        <family val="2"/>
        <charset val="204"/>
      </rPr>
      <t>, °</t>
    </r>
  </si>
  <si>
    <t>φ нагрузочного режима, °</t>
  </si>
  <si>
    <r>
      <t>φ пв нагрузочного режима</t>
    </r>
    <r>
      <rPr>
        <b/>
        <sz val="10"/>
        <color indexed="8"/>
        <rFont val="Arial"/>
        <family val="2"/>
        <charset val="204"/>
      </rPr>
      <t>, °</t>
    </r>
  </si>
  <si>
    <r>
      <t>φ лв нагрузочного режима</t>
    </r>
    <r>
      <rPr>
        <b/>
        <sz val="10"/>
        <color indexed="8"/>
        <rFont val="Arial"/>
        <family val="2"/>
        <charset val="204"/>
      </rPr>
      <t>, °</t>
    </r>
  </si>
  <si>
    <t>Погрешность k см</t>
  </si>
  <si>
    <r>
      <t>Φ</t>
    </r>
    <r>
      <rPr>
        <b/>
        <vertAlign val="subscript"/>
        <sz val="10"/>
        <color indexed="8"/>
        <rFont val="Arial"/>
        <family val="2"/>
        <charset val="204"/>
      </rPr>
      <t>1</t>
    </r>
    <r>
      <rPr>
        <b/>
        <sz val="10"/>
        <color indexed="8"/>
        <rFont val="Arial"/>
        <family val="2"/>
        <charset val="204"/>
      </rPr>
      <t>, °</t>
    </r>
  </si>
  <si>
    <r>
      <t>Φ</t>
    </r>
    <r>
      <rPr>
        <b/>
        <vertAlign val="subscript"/>
        <sz val="10"/>
        <color indexed="8"/>
        <rFont val="Arial"/>
        <family val="2"/>
        <charset val="204"/>
      </rPr>
      <t>2</t>
    </r>
    <r>
      <rPr>
        <b/>
        <sz val="10"/>
        <color indexed="8"/>
        <rFont val="Arial"/>
        <family val="2"/>
        <charset val="204"/>
      </rPr>
      <t>, °</t>
    </r>
  </si>
  <si>
    <r>
      <t>Φ</t>
    </r>
    <r>
      <rPr>
        <b/>
        <vertAlign val="subscript"/>
        <sz val="10"/>
        <color indexed="8"/>
        <rFont val="Arial"/>
        <family val="2"/>
        <charset val="204"/>
      </rPr>
      <t>3</t>
    </r>
    <r>
      <rPr>
        <b/>
        <sz val="10"/>
        <color indexed="8"/>
        <rFont val="Arial"/>
        <family val="2"/>
        <charset val="204"/>
      </rPr>
      <t>, °</t>
    </r>
  </si>
  <si>
    <t>При этом угол между векторами тока должен составлять 120 ° ("звезда")</t>
  </si>
  <si>
    <t>φ пв нагрузочного режима, °</t>
  </si>
  <si>
    <t>Погрешность φнагр, °</t>
  </si>
  <si>
    <t>φ лв нагрузочного режима, °</t>
  </si>
  <si>
    <t>Смещение по оси X Zипф1 | Zипфк1, Ом</t>
  </si>
  <si>
    <t>Таблица результатов (расширенная - с уставками, током и напряжением...):</t>
  </si>
  <si>
    <t>Порядок работы:</t>
  </si>
  <si>
    <t>2) указать параметры проверки характеристики в п. 2 "Параметры проверки".</t>
  </si>
  <si>
    <t>3) выполнить проверку характеристики согласно расчитанным значениям в п.3 "Проверка ...".</t>
  </si>
  <si>
    <t>4) ознакомиться с результатами проверки в п. 4. "Результаты ...".</t>
  </si>
  <si>
    <t>1) указать значения уставок в п.1 "Уставки РС" заданные в терминале.</t>
  </si>
  <si>
    <t>Описание: таблица по проверке характеристики междуфазных реле сопротивления (РС) на базе терминалов БЭ2704.</t>
  </si>
  <si>
    <t>3. Проверка характеристики</t>
  </si>
  <si>
    <t>Пользователю также доступна оценка сопротивления в п. "Характеристика ...".</t>
  </si>
  <si>
    <t>Можно использовать для самоконтроля пользователя.</t>
  </si>
  <si>
    <t>В проверке характеристики ПТ не используется.</t>
  </si>
  <si>
    <t>Проверочная точка (ПТ) показывает расчетную точку относительно заданной характеристики РС,</t>
  </si>
  <si>
    <t>при указанных значениях управляемой величины (см п. 2, п/п 3 - задается напряжние или сопротивление) и фазы.</t>
  </si>
  <si>
    <t>Положение ПТ:</t>
  </si>
  <si>
    <t>Область нагрузки на характеристике РС</t>
  </si>
  <si>
    <t>Возможность проверки области нагрузки</t>
  </si>
  <si>
    <t>Первоначально, в проверяемые фазы, подается междуфазный ток (желательно номинальный 1А или 5А, значение указывается в п.2).</t>
  </si>
  <si>
    <r>
      <t xml:space="preserve">Для определения КТ </t>
    </r>
    <r>
      <rPr>
        <sz val="10"/>
        <color indexed="10"/>
        <rFont val="Arial"/>
        <family val="2"/>
        <charset val="204"/>
      </rPr>
      <t>подается междуфазное напряжение</t>
    </r>
    <r>
      <rPr>
        <b/>
        <sz val="10"/>
        <rFont val="Arial"/>
        <family val="2"/>
        <charset val="204"/>
      </rPr>
      <t>,</t>
    </r>
    <r>
      <rPr>
        <sz val="10"/>
        <color indexed="8"/>
        <rFont val="Arial"/>
        <family val="2"/>
        <charset val="204"/>
      </rPr>
      <t xml:space="preserve"> согласно п. "нач. значения", соотв. сопротивлению несрабатывания.</t>
    </r>
  </si>
  <si>
    <t>Первоначально, в проверяемую фазу, подается ток с фазой 0° (желательно номинальный 1А или 5А, значение указывается в п.2).</t>
  </si>
  <si>
    <r>
      <rPr>
        <sz val="10"/>
        <color indexed="10"/>
        <rFont val="Arial"/>
        <family val="2"/>
        <charset val="204"/>
      </rPr>
      <t>Ток (Iф) подается ТОЛЬКО в проверяемую фазу.</t>
    </r>
    <r>
      <rPr>
        <sz val="10"/>
        <rFont val="Arial"/>
        <family val="2"/>
        <charset val="204"/>
      </rPr>
      <t xml:space="preserve"> Ток в остальных фазах, а так же 3I0// должны быть равны 0.</t>
    </r>
  </si>
  <si>
    <r>
      <t>Для определения КТ</t>
    </r>
    <r>
      <rPr>
        <sz val="10"/>
        <color indexed="10"/>
        <rFont val="Arial"/>
        <family val="2"/>
        <charset val="204"/>
      </rPr>
      <t xml:space="preserve"> в проверяемую фазу подается напряжение</t>
    </r>
    <r>
      <rPr>
        <sz val="10"/>
        <color indexed="8"/>
        <rFont val="Arial"/>
        <family val="2"/>
        <charset val="204"/>
      </rPr>
      <t>, согласно п. "нач. значения", соотв. сопротивлению несрабатывания.</t>
    </r>
  </si>
  <si>
    <r>
      <t>В остальные (смежные) фазы "звезды" должны быть поданы номинальные величины напряжения</t>
    </r>
    <r>
      <rPr>
        <sz val="10"/>
        <rFont val="Arial"/>
        <family val="2"/>
        <charset val="204"/>
      </rPr>
      <t xml:space="preserve">, т.к. при U1&lt;10В ИО РС </t>
    </r>
    <r>
      <rPr>
        <b/>
        <sz val="10"/>
        <rFont val="Arial"/>
        <family val="2"/>
        <charset val="204"/>
      </rPr>
      <t>блокируется</t>
    </r>
    <r>
      <rPr>
        <sz val="10"/>
        <color indexed="10"/>
        <rFont val="Arial"/>
        <family val="2"/>
        <charset val="204"/>
      </rPr>
      <t>.</t>
    </r>
  </si>
  <si>
    <r>
      <rPr>
        <b/>
        <sz val="10"/>
        <color indexed="10"/>
        <rFont val="Arial"/>
        <family val="2"/>
        <charset val="204"/>
      </rPr>
      <t>Omicron:</t>
    </r>
    <r>
      <rPr>
        <sz val="10"/>
        <color indexed="10"/>
        <rFont val="Arial"/>
        <family val="2"/>
        <charset val="204"/>
      </rPr>
      <t xml:space="preserve"> программа Omicron QuickCMC | меню Параметры \ Объект испытания \ пункт RIO \ Distance \ ... -&gt; (жмем кнопку Редактировать) -&gt; </t>
    </r>
  </si>
  <si>
    <r>
      <rPr>
        <b/>
        <sz val="10"/>
        <color indexed="9"/>
        <rFont val="Arial"/>
        <family val="2"/>
        <charset val="204"/>
      </rPr>
      <t>Omicron:</t>
    </r>
    <r>
      <rPr>
        <sz val="10"/>
        <color indexed="9"/>
        <rFont val="Arial"/>
        <family val="2"/>
        <charset val="204"/>
      </rPr>
      <t xml:space="preserve"> </t>
    </r>
    <r>
      <rPr>
        <sz val="10"/>
        <color indexed="10"/>
        <rFont val="Arial"/>
        <family val="2"/>
        <charset val="204"/>
      </rPr>
      <t xml:space="preserve">в окне Параметры дистанционной защиты \ Коэффициент заземления \ ... </t>
    </r>
    <r>
      <rPr>
        <b/>
        <sz val="10"/>
        <color indexed="10"/>
        <rFont val="Arial"/>
        <family val="2"/>
        <charset val="204"/>
      </rPr>
      <t>обнулить</t>
    </r>
    <r>
      <rPr>
        <sz val="10"/>
        <color indexed="10"/>
        <rFont val="Arial"/>
        <family val="2"/>
        <charset val="204"/>
      </rPr>
      <t xml:space="preserve"> значения коэффициентов заземления.</t>
    </r>
  </si>
  <si>
    <r>
      <rPr>
        <b/>
        <sz val="10"/>
        <color indexed="10"/>
        <rFont val="Arial"/>
        <family val="2"/>
        <charset val="204"/>
      </rPr>
      <t>Ретом:</t>
    </r>
    <r>
      <rPr>
        <sz val="10"/>
        <color indexed="10"/>
        <rFont val="Arial"/>
        <family val="2"/>
        <charset val="204"/>
      </rPr>
      <t xml:space="preserve"> программа Ретом | Проверка реле сопротивления \ ... в окне программы (с левой стороны) </t>
    </r>
    <r>
      <rPr>
        <b/>
        <sz val="10"/>
        <color indexed="10"/>
        <rFont val="Arial"/>
        <family val="2"/>
        <charset val="204"/>
      </rPr>
      <t>обнулить</t>
    </r>
    <r>
      <rPr>
        <sz val="10"/>
        <color indexed="10"/>
        <rFont val="Arial"/>
        <family val="2"/>
        <charset val="204"/>
      </rPr>
      <t xml:space="preserve"> значения коэффициентов</t>
    </r>
  </si>
  <si>
    <r>
      <rPr>
        <b/>
        <sz val="10"/>
        <color indexed="9"/>
        <rFont val="Arial"/>
        <family val="2"/>
        <charset val="204"/>
      </rPr>
      <t>Ретом:</t>
    </r>
    <r>
      <rPr>
        <sz val="10"/>
        <color indexed="10"/>
        <rFont val="Arial"/>
        <family val="2"/>
        <charset val="204"/>
      </rPr>
      <t xml:space="preserve">  для Ретом-51: "Z=U/I*(1+К0))" и "Угол К0", для Ретом-61: "K0" и "Угол". Далее можно запустить "Ручная проверка" для проверки РС.</t>
    </r>
  </si>
  <si>
    <t>Описание: таблица по проверке характеристики реле сопротивления (РС "на землю") при кз на землю на базе терминалов БЭ2704.</t>
  </si>
  <si>
    <t>Описание: таблица по проверке характеристики ненаправленного реле сопротивления на базе терминалов БЭ2704.</t>
  </si>
  <si>
    <t>Область нагрузки на характеристике РС (правая)</t>
  </si>
  <si>
    <t>Область нагрузки на характеристике РС (леввая)</t>
  </si>
  <si>
    <t>Возможность проверки области нагрузки (правая)</t>
  </si>
  <si>
    <t>Возможность проверки области нагрузки (левая)</t>
  </si>
  <si>
    <t>при указанных значениях управляемой величины (см п. 2, п/п 2 - задается напряжние или сопротивление) и фазы.</t>
  </si>
  <si>
    <t>Описание: таблица по проверке характеристики БК dZ/dt на базе терминалов БЭ2704.</t>
  </si>
  <si>
    <t>4. Результаты проверки</t>
  </si>
  <si>
    <t>Описание: таблица по проверке характеристики ИПФ, ИПФК на базе терминалов БЭ2704.</t>
  </si>
  <si>
    <t>Положение ПТ ИПФ:</t>
  </si>
  <si>
    <t>Положение ПТ ИПФК:</t>
  </si>
  <si>
    <t>Описание: таблица по проверке характеристики определения вида повреждения (ОВП) на базе терминалов БЭ2704.</t>
  </si>
  <si>
    <t>Положение ПТ</t>
  </si>
  <si>
    <t>1) указать значения уставок в п.1 "Уставки..." заданные в терминале.</t>
  </si>
  <si>
    <t>Проверочная точка (ПТ) показывает расчетную точку, при указанных</t>
  </si>
  <si>
    <t>Проверочная точка (ПТ) показывает расчетную точку относительно заданной характеристики ИПФ, ИПФК,</t>
  </si>
  <si>
    <t>значениях тока Iст1 и Iст2, относительно заданной характеристики РТНП</t>
  </si>
  <si>
    <t>!!! График и таблицу с результатами проверки можно скопировать в протокол испытаний.</t>
  </si>
  <si>
    <r>
      <t>I</t>
    </r>
    <r>
      <rPr>
        <sz val="8"/>
        <rFont val="Arial"/>
        <family val="2"/>
        <charset val="204"/>
      </rPr>
      <t>TФ КТ1</t>
    </r>
  </si>
  <si>
    <r>
      <t>I</t>
    </r>
    <r>
      <rPr>
        <sz val="8"/>
        <rFont val="Arial"/>
        <family val="2"/>
        <charset val="204"/>
      </rPr>
      <t>TФ КТ2</t>
    </r>
  </si>
  <si>
    <r>
      <t>I</t>
    </r>
    <r>
      <rPr>
        <sz val="8"/>
        <rFont val="Arial"/>
        <family val="2"/>
        <charset val="204"/>
      </rPr>
      <t>TФ КТ3</t>
    </r>
  </si>
  <si>
    <r>
      <t>I</t>
    </r>
    <r>
      <rPr>
        <sz val="8"/>
        <rFont val="Arial"/>
        <family val="2"/>
        <charset val="204"/>
      </rPr>
      <t>TФ КТ4</t>
    </r>
  </si>
  <si>
    <t>Коэффициент положения КТ1(3) на хар-ке</t>
  </si>
  <si>
    <t>Коэффициент положения КТ2(4) на хар-ке</t>
  </si>
  <si>
    <r>
      <t xml:space="preserve">k </t>
    </r>
    <r>
      <rPr>
        <sz val="8"/>
        <rFont val="Arial"/>
        <family val="2"/>
        <charset val="204"/>
      </rPr>
      <t>КТ1(3)</t>
    </r>
  </si>
  <si>
    <r>
      <t xml:space="preserve">k </t>
    </r>
    <r>
      <rPr>
        <sz val="8"/>
        <rFont val="Arial"/>
        <family val="2"/>
        <charset val="204"/>
      </rPr>
      <t>КТ2(4)</t>
    </r>
  </si>
  <si>
    <t>Проверочный ток КТ1, А</t>
  </si>
  <si>
    <t>Проверочный ток КТ2, А</t>
  </si>
  <si>
    <t>Проверочный ток КТ3, А</t>
  </si>
  <si>
    <t>Проверочный ток КТ4, А</t>
  </si>
  <si>
    <t>Пользователю также доступна оценка сопротивления в п. "Характеристика ..." и проверка всей характеристики в п. "Ручная проверка ...".</t>
  </si>
  <si>
    <t>I т0</t>
  </si>
  <si>
    <t>Ток начала торможения ПО РТНП (расчет), А</t>
  </si>
  <si>
    <r>
      <rPr>
        <sz val="10"/>
        <color indexed="10"/>
        <rFont val="Arial"/>
        <family val="2"/>
        <charset val="204"/>
      </rPr>
      <t>Ток (Iф) подается ТОЛЬКО в проверяемую фазу.</t>
    </r>
    <r>
      <rPr>
        <sz val="10"/>
        <rFont val="Arial"/>
        <family val="2"/>
        <charset val="204"/>
      </rPr>
      <t xml:space="preserve"> Напряжение и ток в остальных фазах, а так же 3I0// должны быть равны 0.</t>
    </r>
  </si>
  <si>
    <r>
      <t xml:space="preserve">Для определения КТ </t>
    </r>
    <r>
      <rPr>
        <sz val="10"/>
        <color indexed="10"/>
        <rFont val="Arial"/>
        <family val="2"/>
        <charset val="204"/>
      </rPr>
      <t>подается однофазное напряжение</t>
    </r>
    <r>
      <rPr>
        <sz val="10"/>
        <color theme="1"/>
        <rFont val="Arial"/>
        <family val="2"/>
        <charset val="204"/>
      </rPr>
      <t>, согласно п. "нач. значения", соотв. сопротивлению несрабатывания.</t>
    </r>
  </si>
  <si>
    <r>
      <rPr>
        <b/>
        <sz val="10"/>
        <color indexed="9"/>
        <rFont val="Arial"/>
        <family val="2"/>
        <charset val="204"/>
      </rPr>
      <t>Omicron:</t>
    </r>
    <r>
      <rPr>
        <sz val="10"/>
        <color indexed="10"/>
        <rFont val="Arial"/>
        <family val="2"/>
        <charset val="204"/>
      </rPr>
      <t xml:space="preserve"> в окне Параметры дистанционной защиты \ Коэффициент заземления \ ... </t>
    </r>
    <r>
      <rPr>
        <b/>
        <sz val="10"/>
        <color indexed="10"/>
        <rFont val="Arial"/>
        <family val="2"/>
        <charset val="204"/>
      </rPr>
      <t>обнулить</t>
    </r>
    <r>
      <rPr>
        <sz val="10"/>
        <color indexed="10"/>
        <rFont val="Arial"/>
        <family val="2"/>
        <charset val="204"/>
      </rPr>
      <t xml:space="preserve"> значения коэффициентов заземления.</t>
    </r>
  </si>
  <si>
    <t>Первоначально подается трехфазный ток (желательно номинальный 1А или 5А, значение указывается в п.2).</t>
  </si>
  <si>
    <r>
      <t xml:space="preserve">Для определения КТ </t>
    </r>
    <r>
      <rPr>
        <sz val="10"/>
        <color indexed="10"/>
        <rFont val="Arial"/>
        <family val="2"/>
        <charset val="204"/>
      </rPr>
      <t>подается трехфазное напряжение</t>
    </r>
    <r>
      <rPr>
        <sz val="10"/>
        <color theme="1"/>
        <rFont val="Arial"/>
        <family val="2"/>
        <charset val="204"/>
      </rPr>
      <t>, согласно п. "нач. значения", соотв. сопротивлению несрабатывания.</t>
    </r>
  </si>
  <si>
    <r>
      <t xml:space="preserve">Для определения КТ </t>
    </r>
    <r>
      <rPr>
        <sz val="10"/>
        <color indexed="10"/>
        <rFont val="Arial"/>
        <family val="2"/>
        <charset val="204"/>
      </rPr>
      <t>подается междуфазное напряжение</t>
    </r>
    <r>
      <rPr>
        <sz val="10"/>
        <color theme="1"/>
        <rFont val="Arial"/>
        <family val="2"/>
        <charset val="204"/>
      </rPr>
      <t>, согласно п. "нач. значения", соотв. сопротивлению несрабатывания.</t>
    </r>
  </si>
  <si>
    <t>Характеристика РС (Xуст,Rуст,fi_1)</t>
  </si>
  <si>
    <t>Характеристика РС (fi_2)</t>
  </si>
  <si>
    <t>Характеристика РС (fi_3)</t>
  </si>
  <si>
    <t>Область нагрузки (Rнагр, fi_нагр)</t>
  </si>
  <si>
    <t>Характеристика РС (fi_4)</t>
  </si>
  <si>
    <t>Угол линии, °</t>
  </si>
  <si>
    <t>fi_линии</t>
  </si>
  <si>
    <t>Проверка наклона верхней части</t>
  </si>
  <si>
    <t>луч fi_1</t>
  </si>
  <si>
    <t>fi_4_граф</t>
  </si>
  <si>
    <t>fi_4_пров</t>
  </si>
  <si>
    <t>Возможность проверки наклона fi_4</t>
  </si>
  <si>
    <t>Наклон fi_4 на характеристике РС</t>
  </si>
  <si>
    <t>Название диаграммы:</t>
  </si>
  <si>
    <t>Уставки:</t>
  </si>
  <si>
    <t>Диагр_1:</t>
  </si>
  <si>
    <t>Диагр_2:</t>
  </si>
  <si>
    <r>
      <t>Параметры линии</t>
    </r>
    <r>
      <rPr>
        <sz val="10"/>
        <color theme="1"/>
        <rFont val="Arial"/>
        <family val="2"/>
        <charset val="204"/>
      </rPr>
      <t xml:space="preserve"> (</t>
    </r>
    <r>
      <rPr>
        <sz val="10"/>
        <color rgb="FFFF0000"/>
        <rFont val="Arial"/>
        <family val="2"/>
        <charset val="204"/>
      </rPr>
      <t>только если задана проверка fi_4</t>
    </r>
    <r>
      <rPr>
        <sz val="10"/>
        <color theme="1"/>
        <rFont val="Arial"/>
        <family val="2"/>
        <charset val="204"/>
      </rPr>
      <t>)</t>
    </r>
  </si>
  <si>
    <t>fi_линии_кз0</t>
  </si>
  <si>
    <t>fi_линии_ф</t>
  </si>
  <si>
    <t>Характеристика РС (k*Xуст)</t>
  </si>
  <si>
    <t>Область нагрузки (Rнагр, fi_нагр) правая</t>
  </si>
  <si>
    <t>Область нагрузки (Rнагр, fi_нагр) левая</t>
  </si>
  <si>
    <t>ось fi_1</t>
  </si>
  <si>
    <t>ось fi_линии</t>
  </si>
  <si>
    <t>fi_2 (ИПФ)</t>
  </si>
  <si>
    <t>fi_2 (ИПФК)</t>
  </si>
  <si>
    <t>fi_3 (ИПФК)</t>
  </si>
  <si>
    <t>Характеристика ИПФ (Xуст ипф,Rуст ипф,fi_1)</t>
  </si>
  <si>
    <t>Характеристика ИПФК (Xуст ипфк,Rуст ипфк,fi_1)</t>
  </si>
  <si>
    <t>Характеристика ИПФК (fi_3)</t>
  </si>
  <si>
    <t>Характеристика ИПФК (fi_2)</t>
  </si>
  <si>
    <t>Характеристика ИПФ (k*Xуст)</t>
  </si>
  <si>
    <t>Характеристика ИПФ (fi_2)</t>
  </si>
  <si>
    <t>Характеристика ИПФ и ИПФК</t>
  </si>
  <si>
    <t>с повышенной погрешностью для уставок проверяемых косвенно (например: Rуст, Хуст (если Хуст не пересекает ось Х), fi_1, fi_4).</t>
  </si>
  <si>
    <t>с повышенной погрешностью для уставок проверяемых косвенно (например: Rуст, Хуст (если Хуст не пересекает ось Х), fi_1).</t>
  </si>
  <si>
    <r>
      <t xml:space="preserve">Текущий способ проверки характеристики РС путем изменения только одного параметра (амплитуды или фазы напряжения) </t>
    </r>
    <r>
      <rPr>
        <b/>
        <sz val="10"/>
        <color rgb="FFFF0000"/>
        <rFont val="Arial"/>
        <family val="2"/>
        <charset val="204"/>
      </rPr>
      <t>может</t>
    </r>
    <r>
      <rPr>
        <sz val="10"/>
        <color rgb="FFFF0000"/>
        <rFont val="Arial"/>
        <family val="2"/>
        <charset val="204"/>
      </rPr>
      <t xml:space="preserve"> дать результат</t>
    </r>
  </si>
  <si>
    <r>
      <t xml:space="preserve">Текущий способ проверки характеристики РС путем изменения только одного параметра (амплитуды или фазы напряжения) </t>
    </r>
    <r>
      <rPr>
        <b/>
        <sz val="10"/>
        <color rgb="FFFF0000"/>
        <rFont val="Arial"/>
        <family val="2"/>
        <charset val="204"/>
      </rPr>
      <t>может</t>
    </r>
    <r>
      <rPr>
        <sz val="10"/>
        <color rgb="FFFF0000"/>
        <rFont val="Arial"/>
        <family val="2"/>
        <charset val="204"/>
      </rPr>
      <t xml:space="preserve"> дать</t>
    </r>
  </si>
  <si>
    <t>результат с повышенной погрешностью для уставок проверяемых косвенно (например: Rуст, Хуст (если Хуст не пересекает ось Х), fi_1).</t>
  </si>
  <si>
    <t>с повышенной погрешностью для уставок проверяемых косвенно (например: Rуст, Хуст (если Хуст не пересекает ось Х), fi_1, fi_2 (ИПФК), fi_3 (ИПФК)).</t>
  </si>
  <si>
    <t>с повышенной погрешностью для уставок проверяемых косвенно (например: Кт ПО РТНП).</t>
  </si>
  <si>
    <r>
      <t xml:space="preserve">Текущий способ проверки характеристики ПО РТНП путем изменения только одного параметра (амплитуды тока) </t>
    </r>
    <r>
      <rPr>
        <b/>
        <sz val="10"/>
        <color rgb="FFFF0000"/>
        <rFont val="Arial"/>
        <family val="2"/>
        <charset val="204"/>
      </rPr>
      <t>может</t>
    </r>
    <r>
      <rPr>
        <sz val="10"/>
        <color rgb="FFFF0000"/>
        <rFont val="Arial"/>
        <family val="2"/>
        <charset val="204"/>
      </rPr>
      <t xml:space="preserve"> дать результат</t>
    </r>
  </si>
  <si>
    <t>1-вп | 2-наз</t>
  </si>
  <si>
    <t>1 - Z | 2 - U</t>
  </si>
  <si>
    <t>1 - Zф |2 - Uф</t>
  </si>
  <si>
    <t>Лист "ООВП": - Незначительные косметические доработки (не достойные описания).</t>
  </si>
  <si>
    <t>Лист "Теория ИПФ, ИПФК": - В тексте исправлено расчетное выражение для ИПФК.</t>
  </si>
  <si>
    <t>изменение от 09.12.2022</t>
  </si>
  <si>
    <t>изменение от 14.01.2020</t>
  </si>
  <si>
    <t>изменение от 14.06.2019</t>
  </si>
  <si>
    <t>изменение от 14.08.2017</t>
  </si>
  <si>
    <t>изменение от 29.08.2016</t>
  </si>
  <si>
    <t>Лист "ИПФ, ИПФК": - Добавлена расширенная таблица результатов.</t>
  </si>
  <si>
    <t>Лист "РС междуфазное ":  - Обновлено описание параметров проверки РС.</t>
  </si>
  <si>
    <t>Лист "РС при КЗ на землю ":  - Обновлено описание параметров проверки РС.</t>
  </si>
  <si>
    <t>Лист "ИПФ, ИПФК ":  - Обновлено описание параметров проверки РС.</t>
  </si>
  <si>
    <t>Лист "РС при КЗ на землю ": - Обновлено описание параметров проверки РС (в смежные к проверяемой фазы должно подавться номинальное напряжение).</t>
  </si>
  <si>
    <t>Лист "Теория РС при КЗ на землю ": - Приведено упрощенное выражение по расчету сопротивления.</t>
  </si>
  <si>
    <t>Лист "Теория ИПФ, ИПФК ": - Приведено упрощенное выражение по расчету сопротивления.</t>
  </si>
  <si>
    <t>Лист "РС междуфазное    ": - Проверка уставки fi_4 привязана к fi_линии вместо fi_1 (как и должно быть).  - В уставки добавлены параметры линии для расчета fi_линии.  - Добавлена диаграмма с характеристиками уставок для наглядности. - В подпись диаграмм добавлены значения уставок.  - Незначительные косметические доработки (не достойные описания).</t>
  </si>
  <si>
    <t>Лист "РС при КЗ на землю": - Проверка уставки fi_4 привязана к fi_линии вместо fi_1 (как и должно быть). - Добавлена диаграмма с характеристиками уставок для наглядности. - В подпись диаграмм добавлены значения уставок. - Незначительные косметические доработки (не достойные описания).</t>
  </si>
  <si>
    <t>Лист "Ненаправленное РС": - Добавлена диаграмма с характеристиками уставок для наглядности. - В подпись диаграмм добавлены значения уставок. - Незначительные косметические доработки (не достойные описания).</t>
  </si>
  <si>
    <t>Лист "БК dZ_dt": - В подпись диаграммы добавлены значения уставок. - Незначительные косметические доработки (не достойные описания).</t>
  </si>
  <si>
    <t>Лист "ИПФ, ИПФК": - Разделены диаграммы ИПФ и ИПФК. - Добавлены диаграммы с характеристиками уставок для наглядности. - В подпись диаграмм добавлены значения уставок. - Незначительные косметические доработки (не достойные описания).</t>
  </si>
  <si>
    <t>Лист "РС междуфазное": - Добавлено описание в заголовок листа. - Обновлен поясняющий рисунок в п.2. - Прочие незначительные косметические доработки (не достойные описания).</t>
  </si>
  <si>
    <t>Лист "РС при КЗ на землю": - Добавлено описание в заголовок листа.- Обновлен поясняющий рисунок в п.2.- Прочие незначительные косметические доработки (не достойные описания).</t>
  </si>
  <si>
    <t>Лист "Ненаправленное РС": - Добавлено описание в заголовок листа. - Прочие незначительные косметические доработки (не достойные описания).</t>
  </si>
  <si>
    <t>Лист "БК dZ_dt": - Добавлено описание в заголовок листа. - Прочие незначительные косметические доработки (не достойные описания).</t>
  </si>
  <si>
    <t>Лист "ИПФ, ИПФК": - Добавлено описание в заголовок листа. - Обновлен поясняющий рисунок в п.2. - Прочие незначительные косметические доработки (не достойные описания).</t>
  </si>
  <si>
    <t>Лист "ООВП": - Добавлено описание в заголовок листа. - Скорректированы поля задания КТ в п.2. - Добавлен поясняющий рисунок в п.2. - Прочие незначительные косметические доработки (не достойные описания).</t>
  </si>
  <si>
    <t>Лист "Начальная ": - Косметические правки листа.</t>
  </si>
  <si>
    <t>Лист "РС междуфазное": - Обновлен рисунок характеристики в п.2.- Добавлена расширенная таблица результатов.</t>
  </si>
  <si>
    <t>Лист "РС при КЗ на землю": - Обновлен рисунок характеристики в п.2. - Добавлена расширенная таблица результатов.</t>
  </si>
  <si>
    <t>Лист "Ненаправленное РС": - Обновлен рисунок характеристики в п.2. - Добавлена расширенная таблица результатов.</t>
  </si>
  <si>
    <t>Лист "БК dZ_dt": - Обновлен рисунок характеристики в п.2. - Добавлена расширенная таблица результатов.</t>
  </si>
  <si>
    <t>изменение от 20.04.2023</t>
  </si>
  <si>
    <t>Лист "Содержание":  - Скорректированы ссылки перехода между Содержанием и рабочими листами.</t>
  </si>
  <si>
    <t>Лист "Начальная" переименован на "Содержание".</t>
  </si>
  <si>
    <t>Добавлена "пасхалка".</t>
  </si>
  <si>
    <t>лист</t>
  </si>
  <si>
    <t>описание</t>
  </si>
  <si>
    <t>Автор:</t>
  </si>
  <si>
    <t>Кузнецов Алесандр Александрович</t>
  </si>
  <si>
    <t>Заместитель заведующего отделом наладки и сервиса (Э15)</t>
  </si>
  <si>
    <t>Благодарность:</t>
  </si>
  <si>
    <t>Кочкин Николай Андреевич</t>
  </si>
  <si>
    <t xml:space="preserve"> Заведующий сектором отдела подстанционного оборудования (Э4)</t>
  </si>
  <si>
    <t>Сандимиров Сергей Михайлович</t>
  </si>
  <si>
    <t>Ведущий инженер отдела подстанционного оборудования (Э4)</t>
  </si>
  <si>
    <t>Герб ОНС</t>
  </si>
  <si>
    <t>------------------</t>
  </si>
  <si>
    <t>Герб ОНС выполнен в виде шестерёнки с 10-тью зубьями и микросхемы. Микросхема размещена внутри шестерёнки по центру и своими ножками упирается в шестеренку.</t>
  </si>
  <si>
    <t>На боковых гранях зубьев шестерёнки представлены:</t>
  </si>
  <si>
    <t>·       верхние 4 зуба слева направо: "магические" символы электрических величин - сопротивления (Z, R, X), тока (I), напряжения (U) и мощности (S, P, Q). Зубья с обозначением тока и напряжения расположены в самом верху, т. к. являются базовыми электрическим величинами.</t>
  </si>
  <si>
    <t>·       нижние 4 зуба слева направо: "рунические" изображения "синусоиды" (аналоговый сигнал), трансформатора (преобразование энергии), "звезды" и "треугольника" (типовые схемы соединения измерительных трансформаторов применяемых в релейной защите).</t>
  </si>
  <si>
    <t>·       на горизонтальных зубьях представлено название предприятия “НПП” (левый) и “ЭКРА” (правый). Эти зубья визуально делят шестерню пополам на верхнюю и нижнюю дугу.</t>
  </si>
  <si>
    <t>На верхней дуге шестерёнки представлена надпись "наладка и сервис". На нижней дуге шестерёнки представлен девиз ООО НПП “ЭКРА” - "сохраняя энергию".</t>
  </si>
  <si>
    <t>На фасаде микросхемы представлены скрещенный гаечный ключ и отвертка, а также код (Э15) и инициалы (ОНС) отдела наладки и сервиса крупными буквами (чтобы у созерцателя не осталось и тени сомнения чей это герб!).</t>
  </si>
  <si>
    <t>В корпусе микросхемы содержится фотоальбом ОНС (10х15 см). Фасад микросхемы является крышкой, которая удерживается магнитной клипсой и откидывается за верхний край вниз.</t>
  </si>
  <si>
    <t>P. S.:</t>
  </si>
  <si>
    <t>·       Шестеренка, эмблема отвёртки и гаечного ключа являются общепринятыми символами сервиса, ремонта и тех. поддержки.</t>
  </si>
  <si>
    <t>·       Микросхема является символом современных технологий, инноваций и микропроцессорных технологий.</t>
  </si>
  <si>
    <t>·       Надписи “НПП”, “ЭКРА” и "сохраняя энергию" выполнены зеленым цветом (принятый корпоративный цвет).</t>
  </si>
  <si>
    <t>·       Надписи “ОНС”, “Э15” и "наладка и сервис" выполнены желтым цветом (цвет символизирующий сияние ОНС в орг. структуре ООО НПП “ЭКРА”).</t>
  </si>
  <si>
    <t>·       "Магические" символы, "рунические" изображения, эмблема отвёртки и гаечного ключа выполнены синим цветом (цвет - символ энергии).</t>
  </si>
  <si>
    <t>·       Шестерня и микросхема выполнены темно-серым цветом (в идеале шестеренку лучше сделать цвета стали, а микросхему – цвета графита).</t>
  </si>
  <si>
    <t>·       Электрические "заклинания" (закон Ома, 1-ый и 2-ой законы Киргофа, расчёт эл. мощности и т. п.), к сожалению, на герб не поместились.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</si>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</sst>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.0000"/>
    <numFmt numFmtId="166" formatCode="0.0"/>
  </numFmts>
  <fonts count="94" x14ac:knownFonts="1">
    <font>
      <sz val="11"/>
      <color theme="1"/>
      <name val="Calibri"/>
      <family val="2"/>
      <charset val="204"/>
      <scheme val="minor"/>
    </font>
    <font>
      <u/>
      <sz val="11"/>
      <color indexed="12"/>
      <name val="Calibri"/>
      <family val="2"/>
      <charset val="204"/>
    </font>
    <font>
      <sz val="10"/>
      <name val="Arial"/>
      <family val="2"/>
      <charset val="204"/>
    </font>
    <font>
      <b/>
      <sz val="10"/>
      <color indexed="9"/>
      <name val="Arial"/>
      <family val="2"/>
      <charset val="204"/>
    </font>
    <font>
      <b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indexed="9"/>
      <name val="Arial Cyr"/>
      <charset val="204"/>
    </font>
    <font>
      <sz val="10"/>
      <color indexed="9"/>
      <name val="Arial"/>
      <family val="2"/>
      <charset val="204"/>
    </font>
    <font>
      <vertAlign val="subscript"/>
      <sz val="10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9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0"/>
      <color indexed="8"/>
      <name val="Symbol"/>
      <family val="1"/>
      <charset val="2"/>
    </font>
    <font>
      <sz val="8"/>
      <color indexed="8"/>
      <name val="Arial"/>
      <family val="2"/>
      <charset val="204"/>
    </font>
    <font>
      <sz val="10"/>
      <name val="Arial Cyr"/>
      <charset val="204"/>
    </font>
    <font>
      <b/>
      <sz val="10"/>
      <name val="Arial Cyr"/>
      <charset val="204"/>
    </font>
    <font>
      <sz val="10"/>
      <color indexed="10"/>
      <name val="Arial Cyr"/>
      <charset val="204"/>
    </font>
    <font>
      <b/>
      <sz val="10"/>
      <color indexed="10"/>
      <name val="Arial Cyr"/>
      <charset val="204"/>
    </font>
    <font>
      <b/>
      <sz val="12"/>
      <color indexed="10"/>
      <name val="Arial Cyr"/>
      <charset val="204"/>
    </font>
    <font>
      <b/>
      <vertAlign val="subscript"/>
      <sz val="10"/>
      <color indexed="8"/>
      <name val="Arial"/>
      <family val="2"/>
      <charset val="204"/>
    </font>
    <font>
      <b/>
      <sz val="28"/>
      <color indexed="44"/>
      <name val="Arial Cyr"/>
      <charset val="204"/>
    </font>
    <font>
      <sz val="14"/>
      <color indexed="9"/>
      <name val="Arial Cyr"/>
      <charset val="204"/>
    </font>
    <font>
      <b/>
      <sz val="12"/>
      <name val="Arial Cyr"/>
      <charset val="204"/>
    </font>
    <font>
      <sz val="9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0"/>
      <color indexed="8"/>
      <name val="Wingdings 3"/>
      <family val="1"/>
      <charset val="2"/>
    </font>
    <font>
      <sz val="12"/>
      <name val="Calibri"/>
      <family val="2"/>
      <charset val="204"/>
    </font>
    <font>
      <sz val="9"/>
      <color indexed="81"/>
      <name val="Wingdings 3"/>
      <family val="1"/>
      <charset val="2"/>
    </font>
    <font>
      <sz val="9"/>
      <color indexed="81"/>
      <name val="Arial"/>
      <family val="2"/>
      <charset val="204"/>
    </font>
    <font>
      <sz val="10"/>
      <color indexed="10"/>
      <name val="Calibri"/>
      <family val="2"/>
      <charset val="204"/>
    </font>
    <font>
      <sz val="14"/>
      <name val="Arial Cyr"/>
      <charset val="204"/>
    </font>
    <font>
      <sz val="12"/>
      <name val="Arial"/>
      <family val="2"/>
      <charset val="204"/>
    </font>
    <font>
      <b/>
      <sz val="10"/>
      <color indexed="9"/>
      <name val="Arial Cyr"/>
      <charset val="204"/>
    </font>
    <font>
      <b/>
      <sz val="8"/>
      <name val="Arial Cyr"/>
      <charset val="204"/>
    </font>
    <font>
      <sz val="8"/>
      <name val="Arial"/>
      <family val="2"/>
      <charset val="204"/>
    </font>
    <font>
      <sz val="12"/>
      <name val="Arial Cyr"/>
      <charset val="204"/>
    </font>
    <font>
      <sz val="20"/>
      <color indexed="23"/>
      <name val="Wingdings 3"/>
      <family val="1"/>
      <charset val="2"/>
    </font>
    <font>
      <b/>
      <sz val="8"/>
      <color indexed="23"/>
      <name val="Arial Cyr"/>
      <charset val="204"/>
    </font>
    <font>
      <sz val="12"/>
      <name val="Wingdings 3"/>
      <family val="1"/>
      <charset val="2"/>
    </font>
    <font>
      <sz val="11"/>
      <color indexed="8"/>
      <name val="Arial"/>
      <family val="2"/>
      <charset val="204"/>
    </font>
    <font>
      <b/>
      <vertAlign val="subscript"/>
      <sz val="10"/>
      <color indexed="8"/>
      <name val="Arial Narrow"/>
      <family val="2"/>
      <charset val="204"/>
    </font>
    <font>
      <b/>
      <sz val="10"/>
      <color indexed="8"/>
      <name val="Arial Narrow"/>
      <family val="2"/>
      <charset val="204"/>
    </font>
    <font>
      <b/>
      <sz val="11"/>
      <color indexed="8"/>
      <name val="Wingdings 3"/>
      <family val="1"/>
      <charset val="2"/>
    </font>
    <font>
      <b/>
      <sz val="11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i/>
      <sz val="10"/>
      <name val="Arial"/>
      <family val="2"/>
      <charset val="204"/>
    </font>
    <font>
      <vertAlign val="subscript"/>
      <sz val="10"/>
      <name val="Arial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1"/>
      <name val="Arial"/>
      <family val="2"/>
      <charset val="204"/>
    </font>
    <font>
      <sz val="10"/>
      <color indexed="81"/>
      <name val="Arial"/>
      <family val="2"/>
      <charset val="204"/>
    </font>
    <font>
      <b/>
      <sz val="12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8"/>
      <color rgb="FF1E807E"/>
      <name val="Arial Cyr"/>
      <charset val="204"/>
    </font>
    <font>
      <sz val="10"/>
      <color rgb="FFFF0000"/>
      <name val="Arial Cyr"/>
      <charset val="204"/>
    </font>
    <font>
      <b/>
      <sz val="10"/>
      <color theme="1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0"/>
      <color rgb="FF00B050"/>
      <name val="Arial Cyr"/>
      <charset val="204"/>
    </font>
    <font>
      <b/>
      <sz val="10"/>
      <color rgb="FFFF0000"/>
      <name val="Arial Cyr"/>
      <charset val="204"/>
    </font>
    <font>
      <b/>
      <sz val="10"/>
      <color rgb="FFFF0000"/>
      <name val="Arial"/>
      <family val="2"/>
      <charset val="204"/>
    </font>
    <font>
      <sz val="1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0"/>
      <color rgb="FF00B050"/>
      <name val="Arial"/>
      <family val="2"/>
      <charset val="204"/>
    </font>
    <font>
      <b/>
      <sz val="10"/>
      <color rgb="FFFFFFFF"/>
      <name val="Arial"/>
      <family val="2"/>
      <charset val="204"/>
    </font>
    <font>
      <b/>
      <sz val="12"/>
      <color rgb="FFFF7C80"/>
      <name val="Arial Cyr"/>
      <charset val="204"/>
    </font>
    <font>
      <b/>
      <sz val="11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0"/>
      <color rgb="FF1E807E"/>
      <name val="Arial Cyr"/>
      <charset val="204"/>
    </font>
    <font>
      <sz val="10"/>
      <color rgb="FF1E807E"/>
      <name val="Arial Cyr"/>
      <charset val="204"/>
    </font>
    <font>
      <sz val="12"/>
      <color rgb="FFFFFFFF"/>
      <name val="Arial"/>
      <family val="2"/>
      <charset val="204"/>
    </font>
    <font>
      <sz val="11"/>
      <color theme="1"/>
      <name val="Calibri"/>
      <family val="2"/>
      <charset val="204"/>
    </font>
    <font>
      <b/>
      <sz val="12"/>
      <color rgb="FF00B050"/>
      <name val="Arial Cyr"/>
      <charset val="204"/>
    </font>
    <font>
      <sz val="10"/>
      <color rgb="FFFFFFFF"/>
      <name val="Arial"/>
      <family val="2"/>
      <charset val="204"/>
    </font>
    <font>
      <b/>
      <sz val="10"/>
      <color theme="0"/>
      <name val="Arial Cyr"/>
      <charset val="204"/>
    </font>
    <font>
      <b/>
      <sz val="12"/>
      <color rgb="FFFF0000"/>
      <name val="Arial Cyr"/>
      <charset val="204"/>
    </font>
    <font>
      <sz val="48"/>
      <color theme="0" tint="-0.499984740745262"/>
      <name val="Wingdings 3"/>
      <family val="1"/>
      <charset val="2"/>
    </font>
    <font>
      <b/>
      <sz val="10"/>
      <color theme="1"/>
      <name val="Arial Narrow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0"/>
      <color indexed="81"/>
      <name val="Tahoma"/>
      <family val="2"/>
      <charset val="204"/>
    </font>
    <font>
      <b/>
      <sz val="10"/>
      <color indexed="81"/>
      <name val="Tahoma"/>
      <family val="2"/>
      <charset val="204"/>
    </font>
    <font>
      <sz val="11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theme="1" tint="0.499984740745262"/>
      <name val="Arial Cyr"/>
      <charset val="204"/>
    </font>
    <font>
      <b/>
      <sz val="10"/>
      <color rgb="FF0D0D0D"/>
      <name val="Arial"/>
      <family val="2"/>
      <charset val="204"/>
    </font>
    <font>
      <sz val="10"/>
      <color rgb="FF0D0D0D"/>
      <name val="Arial"/>
      <family val="2"/>
      <charset val="204"/>
    </font>
    <font>
      <sz val="10"/>
      <name val="Verdana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indexed="64"/>
      </patternFill>
    </fill>
  </fills>
  <borders count="129">
    <border>
      <left/>
      <right/>
      <top/>
      <bottom/>
      <diagonal/>
    </border>
    <border>
      <left/>
      <right/>
      <top/>
      <bottom style="medium">
        <color indexed="9"/>
      </bottom>
      <diagonal/>
    </border>
    <border>
      <left style="dashed">
        <color indexed="64"/>
      </left>
      <right style="dashed">
        <color indexed="64"/>
      </right>
      <top/>
      <bottom style="medium">
        <color indexed="9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/>
      <right style="dashed">
        <color indexed="64"/>
      </right>
      <top/>
      <bottom style="medium">
        <color indexed="9"/>
      </bottom>
      <diagonal/>
    </border>
    <border>
      <left style="dashed">
        <color indexed="64"/>
      </left>
      <right/>
      <top/>
      <bottom style="medium">
        <color indexed="9"/>
      </bottom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dashed">
        <color indexed="64"/>
      </bottom>
      <diagonal/>
    </border>
    <border>
      <left/>
      <right/>
      <top style="dashed">
        <color indexed="64"/>
      </top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ashed">
        <color indexed="64"/>
      </left>
      <right/>
      <top/>
      <bottom style="dashed">
        <color indexed="64"/>
      </bottom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 style="dashed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/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9"/>
      </top>
      <bottom/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medium">
        <color indexed="9"/>
      </top>
      <bottom style="medium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Dashed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mediumDashed">
        <color indexed="64"/>
      </top>
      <bottom style="dashed">
        <color indexed="64"/>
      </bottom>
      <diagonal/>
    </border>
    <border>
      <left style="thin">
        <color indexed="64"/>
      </left>
      <right/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medium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medium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thin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/>
      <diagonal/>
    </border>
    <border>
      <left/>
      <right style="thin">
        <color indexed="64"/>
      </right>
      <top/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/>
      <top style="dashed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/>
      <right style="medium">
        <color indexed="64"/>
      </right>
      <top style="thin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medium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mediumDash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dashed">
        <color indexed="64"/>
      </top>
      <bottom style="mediumDashed">
        <color indexed="64"/>
      </bottom>
      <diagonal/>
    </border>
    <border>
      <left/>
      <right style="thin">
        <color indexed="64"/>
      </right>
      <top style="dashed">
        <color indexed="64"/>
      </top>
      <bottom style="mediumDashed">
        <color indexed="64"/>
      </bottom>
      <diagonal/>
    </border>
    <border>
      <left style="medium">
        <color indexed="64"/>
      </left>
      <right/>
      <top style="mediumDashed">
        <color indexed="64"/>
      </top>
      <bottom style="dashed">
        <color indexed="64"/>
      </bottom>
      <diagonal/>
    </border>
    <border>
      <left/>
      <right style="thin">
        <color indexed="64"/>
      </right>
      <top style="mediumDashed">
        <color indexed="64"/>
      </top>
      <bottom style="dashed">
        <color indexed="64"/>
      </bottom>
      <diagonal/>
    </border>
    <border>
      <left/>
      <right/>
      <top/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/>
      <diagonal/>
    </border>
    <border>
      <left style="mediumDashed">
        <color theme="1" tint="0.499984740745262"/>
      </left>
      <right/>
      <top/>
      <bottom/>
      <diagonal/>
    </border>
  </borders>
  <cellStyleXfs count="5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7" fillId="0" borderId="0"/>
    <xf numFmtId="0" fontId="2" fillId="0" borderId="0"/>
  </cellStyleXfs>
  <cellXfs count="792">
    <xf numFmtId="0" fontId="0" fillId="0" borderId="0" xfId="0"/>
    <xf numFmtId="164" fontId="4" fillId="2" borderId="1" xfId="0" applyNumberFormat="1" applyFont="1" applyFill="1" applyBorder="1" applyAlignment="1" applyProtection="1">
      <alignment horizontal="center" vertical="center" wrapText="1"/>
      <protection locked="0" hidden="1"/>
    </xf>
    <xf numFmtId="165" fontId="4" fillId="2" borderId="1" xfId="0" applyNumberFormat="1" applyFont="1" applyFill="1" applyBorder="1" applyAlignment="1" applyProtection="1">
      <alignment horizontal="center" vertical="center" wrapText="1"/>
      <protection locked="0" hidden="1"/>
    </xf>
    <xf numFmtId="2" fontId="4" fillId="2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7" fillId="3" borderId="0" xfId="0" applyFont="1" applyFill="1" applyProtection="1">
      <protection hidden="1"/>
    </xf>
    <xf numFmtId="0" fontId="8" fillId="3" borderId="0" xfId="0" applyFont="1" applyFill="1" applyProtection="1">
      <protection hidden="1"/>
    </xf>
    <xf numFmtId="0" fontId="59" fillId="4" borderId="0" xfId="0" applyFont="1" applyFill="1" applyProtection="1">
      <protection hidden="1"/>
    </xf>
    <xf numFmtId="0" fontId="12" fillId="3" borderId="0" xfId="0" applyFont="1" applyFill="1" applyAlignment="1" applyProtection="1">
      <alignment vertical="center"/>
      <protection hidden="1"/>
    </xf>
    <xf numFmtId="0" fontId="12" fillId="3" borderId="0" xfId="0" applyFont="1" applyFill="1" applyProtection="1">
      <protection hidden="1"/>
    </xf>
    <xf numFmtId="0" fontId="4" fillId="2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3" fillId="5" borderId="0" xfId="0" applyFont="1" applyFill="1" applyBorder="1" applyAlignment="1" applyProtection="1">
      <alignment horizontal="center" vertical="center"/>
      <protection hidden="1"/>
    </xf>
    <xf numFmtId="164" fontId="4" fillId="2" borderId="2" xfId="0" applyNumberFormat="1" applyFont="1" applyFill="1" applyBorder="1" applyAlignment="1" applyProtection="1">
      <alignment horizontal="center" vertical="center" wrapText="1"/>
      <protection locked="0" hidden="1"/>
    </xf>
    <xf numFmtId="164" fontId="4" fillId="2" borderId="3" xfId="0" applyNumberFormat="1" applyFont="1" applyFill="1" applyBorder="1" applyAlignment="1" applyProtection="1">
      <alignment horizontal="center" vertical="center" wrapText="1"/>
      <protection locked="0" hidden="1"/>
    </xf>
    <xf numFmtId="164" fontId="4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164" fontId="4" fillId="2" borderId="5" xfId="0" applyNumberFormat="1" applyFont="1" applyFill="1" applyBorder="1" applyAlignment="1" applyProtection="1">
      <alignment horizontal="center" vertical="center" wrapText="1"/>
      <protection locked="0" hidden="1"/>
    </xf>
    <xf numFmtId="164" fontId="4" fillId="2" borderId="6" xfId="0" applyNumberFormat="1" applyFont="1" applyFill="1" applyBorder="1" applyAlignment="1" applyProtection="1">
      <alignment horizontal="center" vertical="center" wrapText="1"/>
      <protection locked="0" hidden="1"/>
    </xf>
    <xf numFmtId="164" fontId="4" fillId="2" borderId="7" xfId="0" applyNumberFormat="1" applyFont="1" applyFill="1" applyBorder="1" applyAlignment="1" applyProtection="1">
      <alignment horizontal="center" vertical="center" wrapText="1"/>
      <protection locked="0" hidden="1"/>
    </xf>
    <xf numFmtId="0" fontId="0" fillId="6" borderId="0" xfId="0" applyFill="1"/>
    <xf numFmtId="0" fontId="0" fillId="6" borderId="0" xfId="0" applyFill="1" applyAlignment="1"/>
    <xf numFmtId="0" fontId="17" fillId="4" borderId="0" xfId="2" applyFill="1"/>
    <xf numFmtId="0" fontId="17" fillId="5" borderId="0" xfId="2" applyFill="1" applyProtection="1">
      <protection hidden="1"/>
    </xf>
    <xf numFmtId="0" fontId="17" fillId="0" borderId="0" xfId="2"/>
    <xf numFmtId="0" fontId="17" fillId="6" borderId="8" xfId="2" applyFill="1" applyBorder="1" applyProtection="1">
      <protection hidden="1"/>
    </xf>
    <xf numFmtId="0" fontId="17" fillId="6" borderId="9" xfId="2" applyFill="1" applyBorder="1" applyProtection="1">
      <protection hidden="1"/>
    </xf>
    <xf numFmtId="0" fontId="17" fillId="6" borderId="10" xfId="2" applyFill="1" applyBorder="1" applyProtection="1">
      <protection hidden="1"/>
    </xf>
    <xf numFmtId="0" fontId="17" fillId="6" borderId="11" xfId="2" applyFill="1" applyBorder="1" applyProtection="1">
      <protection hidden="1"/>
    </xf>
    <xf numFmtId="0" fontId="17" fillId="6" borderId="0" xfId="2" applyFont="1" applyFill="1" applyBorder="1" applyAlignment="1" applyProtection="1">
      <alignment horizontal="left" vertical="center"/>
      <protection hidden="1"/>
    </xf>
    <xf numFmtId="0" fontId="17" fillId="6" borderId="12" xfId="2" applyFill="1" applyBorder="1" applyProtection="1">
      <protection hidden="1"/>
    </xf>
    <xf numFmtId="0" fontId="60" fillId="6" borderId="0" xfId="2" applyFont="1" applyFill="1" applyBorder="1" applyAlignment="1" applyProtection="1">
      <alignment horizontal="left" vertical="center"/>
      <protection hidden="1"/>
    </xf>
    <xf numFmtId="0" fontId="18" fillId="6" borderId="0" xfId="2" applyFont="1" applyFill="1" applyBorder="1" applyAlignment="1" applyProtection="1">
      <alignment vertical="center" wrapText="1"/>
      <protection hidden="1"/>
    </xf>
    <xf numFmtId="0" fontId="17" fillId="6" borderId="0" xfId="2" applyFill="1" applyBorder="1" applyProtection="1">
      <protection hidden="1"/>
    </xf>
    <xf numFmtId="0" fontId="18" fillId="6" borderId="0" xfId="2" applyFont="1" applyFill="1" applyBorder="1" applyAlignment="1" applyProtection="1">
      <alignment vertical="center"/>
      <protection hidden="1"/>
    </xf>
    <xf numFmtId="0" fontId="18" fillId="6" borderId="13" xfId="2" applyFont="1" applyFill="1" applyBorder="1" applyAlignment="1" applyProtection="1">
      <alignment vertical="center" wrapText="1"/>
      <protection hidden="1"/>
    </xf>
    <xf numFmtId="0" fontId="17" fillId="6" borderId="14" xfId="2" applyFont="1" applyFill="1" applyBorder="1" applyAlignment="1" applyProtection="1">
      <alignment horizontal="center" vertical="center" wrapText="1"/>
      <protection hidden="1"/>
    </xf>
    <xf numFmtId="0" fontId="17" fillId="6" borderId="14" xfId="2" applyFont="1" applyFill="1" applyBorder="1" applyAlignment="1" applyProtection="1">
      <alignment horizontal="left" vertical="center"/>
      <protection hidden="1"/>
    </xf>
    <xf numFmtId="0" fontId="18" fillId="6" borderId="14" xfId="2" applyFont="1" applyFill="1" applyBorder="1" applyAlignment="1" applyProtection="1">
      <alignment vertical="center" wrapText="1"/>
      <protection hidden="1"/>
    </xf>
    <xf numFmtId="0" fontId="17" fillId="6" borderId="0" xfId="2" applyFont="1" applyFill="1" applyBorder="1" applyAlignment="1" applyProtection="1">
      <alignment horizontal="center" vertical="center" wrapText="1"/>
      <protection hidden="1"/>
    </xf>
    <xf numFmtId="0" fontId="17" fillId="6" borderId="13" xfId="2" applyFont="1" applyFill="1" applyBorder="1" applyAlignment="1" applyProtection="1">
      <alignment horizontal="center" vertical="center" wrapText="1"/>
      <protection hidden="1"/>
    </xf>
    <xf numFmtId="164" fontId="4" fillId="2" borderId="15" xfId="2" applyNumberFormat="1" applyFont="1" applyFill="1" applyBorder="1" applyAlignment="1" applyProtection="1">
      <alignment horizontal="center" vertical="center" wrapText="1"/>
      <protection locked="0" hidden="1"/>
    </xf>
    <xf numFmtId="0" fontId="61" fillId="6" borderId="0" xfId="2" applyFont="1" applyFill="1" applyBorder="1" applyAlignment="1" applyProtection="1">
      <alignment horizontal="left"/>
      <protection hidden="1"/>
    </xf>
    <xf numFmtId="0" fontId="17" fillId="6" borderId="16" xfId="2" applyFill="1" applyBorder="1" applyProtection="1">
      <protection hidden="1"/>
    </xf>
    <xf numFmtId="0" fontId="17" fillId="6" borderId="17" xfId="2" applyFill="1" applyBorder="1" applyProtection="1">
      <protection hidden="1"/>
    </xf>
    <xf numFmtId="0" fontId="17" fillId="6" borderId="18" xfId="2" applyFill="1" applyBorder="1" applyProtection="1">
      <protection hidden="1"/>
    </xf>
    <xf numFmtId="0" fontId="59" fillId="6" borderId="0" xfId="0" applyFont="1" applyFill="1"/>
    <xf numFmtId="0" fontId="59" fillId="6" borderId="0" xfId="0" applyFont="1" applyFill="1" applyProtection="1">
      <protection hidden="1"/>
    </xf>
    <xf numFmtId="0" fontId="59" fillId="6" borderId="19" xfId="0" applyFont="1" applyFill="1" applyBorder="1" applyAlignment="1" applyProtection="1">
      <alignment horizontal="center" vertical="center" wrapText="1"/>
      <protection hidden="1"/>
    </xf>
    <xf numFmtId="0" fontId="2" fillId="6" borderId="0" xfId="0" applyFont="1" applyFill="1" applyBorder="1" applyAlignment="1" applyProtection="1">
      <alignment horizontal="center" vertical="center" wrapText="1"/>
      <protection hidden="1"/>
    </xf>
    <xf numFmtId="0" fontId="59" fillId="6" borderId="0" xfId="0" applyFont="1" applyFill="1" applyAlignment="1">
      <alignment horizontal="left" vertical="center"/>
    </xf>
    <xf numFmtId="0" fontId="59" fillId="6" borderId="17" xfId="0" applyFont="1" applyFill="1" applyBorder="1"/>
    <xf numFmtId="0" fontId="59" fillId="6" borderId="17" xfId="0" applyFont="1" applyFill="1" applyBorder="1" applyAlignment="1">
      <alignment horizontal="center" vertical="center"/>
    </xf>
    <xf numFmtId="0" fontId="0" fillId="6" borderId="19" xfId="0" applyFill="1" applyBorder="1" applyAlignment="1" applyProtection="1">
      <alignment horizontal="center" vertical="center" wrapText="1"/>
      <protection hidden="1"/>
    </xf>
    <xf numFmtId="0" fontId="0" fillId="6" borderId="20" xfId="0" applyFill="1" applyBorder="1" applyAlignment="1" applyProtection="1">
      <alignment horizontal="center" vertical="center" wrapText="1"/>
      <protection hidden="1"/>
    </xf>
    <xf numFmtId="0" fontId="59" fillId="6" borderId="0" xfId="0" applyFont="1" applyFill="1" applyAlignment="1">
      <alignment vertical="center" wrapText="1"/>
    </xf>
    <xf numFmtId="0" fontId="59" fillId="6" borderId="0" xfId="0" applyFont="1" applyFill="1" applyAlignment="1">
      <alignment horizontal="center" vertical="center"/>
    </xf>
    <xf numFmtId="164" fontId="59" fillId="6" borderId="0" xfId="0" applyNumberFormat="1" applyFont="1" applyFill="1" applyAlignment="1">
      <alignment horizontal="center" vertical="center"/>
    </xf>
    <xf numFmtId="0" fontId="59" fillId="6" borderId="19" xfId="0" applyFont="1" applyFill="1" applyBorder="1" applyAlignment="1" applyProtection="1">
      <alignment horizontal="center" vertical="center"/>
      <protection hidden="1"/>
    </xf>
    <xf numFmtId="0" fontId="59" fillId="6" borderId="20" xfId="0" applyFont="1" applyFill="1" applyBorder="1" applyAlignment="1" applyProtection="1">
      <alignment vertical="center"/>
      <protection hidden="1"/>
    </xf>
    <xf numFmtId="0" fontId="59" fillId="6" borderId="21" xfId="0" applyFont="1" applyFill="1" applyBorder="1" applyAlignment="1" applyProtection="1">
      <alignment vertical="center"/>
      <protection hidden="1"/>
    </xf>
    <xf numFmtId="0" fontId="59" fillId="6" borderId="19" xfId="0" applyFont="1" applyFill="1" applyBorder="1" applyAlignment="1" applyProtection="1">
      <alignment vertical="center"/>
      <protection hidden="1"/>
    </xf>
    <xf numFmtId="0" fontId="59" fillId="6" borderId="22" xfId="0" applyFont="1" applyFill="1" applyBorder="1" applyAlignment="1" applyProtection="1">
      <alignment horizontal="center" vertical="center"/>
      <protection hidden="1"/>
    </xf>
    <xf numFmtId="0" fontId="0" fillId="6" borderId="0" xfId="0" applyFill="1" applyAlignment="1">
      <alignment horizontal="left" vertical="center"/>
    </xf>
    <xf numFmtId="0" fontId="62" fillId="6" borderId="6" xfId="0" applyFont="1" applyFill="1" applyBorder="1" applyAlignment="1">
      <alignment horizontal="center" vertical="center"/>
    </xf>
    <xf numFmtId="0" fontId="62" fillId="6" borderId="7" xfId="0" applyFont="1" applyFill="1" applyBorder="1" applyAlignment="1">
      <alignment horizontal="center" vertical="center"/>
    </xf>
    <xf numFmtId="0" fontId="62" fillId="6" borderId="0" xfId="0" applyFont="1" applyFill="1"/>
    <xf numFmtId="0" fontId="0" fillId="6" borderId="0" xfId="0" applyFill="1" applyBorder="1"/>
    <xf numFmtId="0" fontId="59" fillId="6" borderId="0" xfId="0" applyFont="1" applyFill="1" applyBorder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2" fontId="2" fillId="6" borderId="23" xfId="0" applyNumberFormat="1" applyFont="1" applyFill="1" applyBorder="1" applyAlignment="1" applyProtection="1">
      <alignment horizontal="center" vertical="center"/>
      <protection hidden="1"/>
    </xf>
    <xf numFmtId="2" fontId="2" fillId="6" borderId="24" xfId="0" applyNumberFormat="1" applyFont="1" applyFill="1" applyBorder="1" applyAlignment="1" applyProtection="1">
      <alignment horizontal="center" vertical="center"/>
      <protection hidden="1"/>
    </xf>
    <xf numFmtId="2" fontId="2" fillId="6" borderId="25" xfId="0" applyNumberFormat="1" applyFont="1" applyFill="1" applyBorder="1" applyAlignment="1" applyProtection="1">
      <alignment horizontal="center" vertical="center"/>
      <protection hidden="1"/>
    </xf>
    <xf numFmtId="2" fontId="4" fillId="6" borderId="0" xfId="0" applyNumberFormat="1" applyFont="1" applyFill="1" applyBorder="1" applyAlignment="1" applyProtection="1">
      <alignment horizontal="center" vertical="center"/>
      <protection hidden="1"/>
    </xf>
    <xf numFmtId="2" fontId="2" fillId="6" borderId="0" xfId="0" applyNumberFormat="1" applyFont="1" applyFill="1" applyBorder="1" applyAlignment="1" applyProtection="1">
      <alignment horizontal="center" vertical="center"/>
      <protection hidden="1"/>
    </xf>
    <xf numFmtId="164" fontId="63" fillId="6" borderId="0" xfId="0" applyNumberFormat="1" applyFont="1" applyFill="1" applyBorder="1" applyAlignment="1">
      <alignment horizontal="center" vertical="center"/>
    </xf>
    <xf numFmtId="164" fontId="0" fillId="6" borderId="0" xfId="0" applyNumberFormat="1" applyFill="1"/>
    <xf numFmtId="0" fontId="2" fillId="6" borderId="0" xfId="0" applyFont="1" applyFill="1" applyBorder="1" applyAlignment="1" applyProtection="1">
      <alignment horizontal="left" vertical="center" wrapText="1" indent="7"/>
      <protection hidden="1"/>
    </xf>
    <xf numFmtId="164" fontId="4" fillId="6" borderId="13" xfId="0" applyNumberFormat="1" applyFont="1" applyFill="1" applyBorder="1" applyAlignment="1" applyProtection="1">
      <alignment horizontal="center" vertical="center"/>
      <protection hidden="1"/>
    </xf>
    <xf numFmtId="164" fontId="4" fillId="6" borderId="26" xfId="0" applyNumberFormat="1" applyFont="1" applyFill="1" applyBorder="1" applyAlignment="1" applyProtection="1">
      <alignment horizontal="center" vertical="center"/>
      <protection hidden="1"/>
    </xf>
    <xf numFmtId="164" fontId="4" fillId="6" borderId="14" xfId="0" applyNumberFormat="1" applyFont="1" applyFill="1" applyBorder="1" applyAlignment="1" applyProtection="1">
      <alignment horizontal="center" vertical="center"/>
      <protection hidden="1"/>
    </xf>
    <xf numFmtId="0" fontId="4" fillId="6" borderId="0" xfId="0" applyFont="1" applyFill="1" applyBorder="1" applyAlignment="1">
      <alignment horizontal="left" vertical="center"/>
    </xf>
    <xf numFmtId="0" fontId="3" fillId="6" borderId="0" xfId="0" applyFont="1" applyFill="1" applyBorder="1" applyAlignment="1" applyProtection="1">
      <alignment horizontal="center" vertical="center"/>
      <protection hidden="1"/>
    </xf>
    <xf numFmtId="164" fontId="59" fillId="6" borderId="0" xfId="0" applyNumberFormat="1" applyFont="1" applyFill="1"/>
    <xf numFmtId="0" fontId="59" fillId="6" borderId="27" xfId="0" applyFont="1" applyFill="1" applyBorder="1" applyAlignment="1">
      <alignment horizontal="center" vertical="center"/>
    </xf>
    <xf numFmtId="0" fontId="59" fillId="6" borderId="23" xfId="0" applyFont="1" applyFill="1" applyBorder="1" applyAlignment="1">
      <alignment horizontal="center" vertical="center"/>
    </xf>
    <xf numFmtId="0" fontId="59" fillId="6" borderId="0" xfId="0" applyFont="1" applyFill="1" applyBorder="1"/>
    <xf numFmtId="164" fontId="62" fillId="6" borderId="28" xfId="0" applyNumberFormat="1" applyFont="1" applyFill="1" applyBorder="1" applyAlignment="1">
      <alignment horizontal="center" vertical="center"/>
    </xf>
    <xf numFmtId="2" fontId="62" fillId="6" borderId="25" xfId="0" applyNumberFormat="1" applyFont="1" applyFill="1" applyBorder="1" applyAlignment="1">
      <alignment horizontal="center" vertical="center"/>
    </xf>
    <xf numFmtId="164" fontId="62" fillId="6" borderId="25" xfId="0" applyNumberFormat="1" applyFont="1" applyFill="1" applyBorder="1" applyAlignment="1">
      <alignment horizontal="center" vertical="center"/>
    </xf>
    <xf numFmtId="0" fontId="59" fillId="6" borderId="0" xfId="0" applyNumberFormat="1" applyFont="1" applyFill="1"/>
    <xf numFmtId="0" fontId="0" fillId="6" borderId="17" xfId="0" applyFill="1" applyBorder="1" applyAlignment="1">
      <alignment horizontal="left" vertical="center"/>
    </xf>
    <xf numFmtId="0" fontId="0" fillId="6" borderId="17" xfId="0" applyFill="1" applyBorder="1"/>
    <xf numFmtId="0" fontId="59" fillId="6" borderId="27" xfId="0" applyFont="1" applyFill="1" applyBorder="1" applyAlignment="1">
      <alignment horizontal="left" vertical="center"/>
    </xf>
    <xf numFmtId="164" fontId="59" fillId="6" borderId="23" xfId="0" applyNumberFormat="1" applyFont="1" applyFill="1" applyBorder="1" applyAlignment="1" applyProtection="1">
      <alignment horizontal="center" vertical="center"/>
    </xf>
    <xf numFmtId="0" fontId="59" fillId="6" borderId="29" xfId="0" applyFont="1" applyFill="1" applyBorder="1" applyAlignment="1">
      <alignment horizontal="left" vertical="center"/>
    </xf>
    <xf numFmtId="0" fontId="59" fillId="6" borderId="24" xfId="0" applyNumberFormat="1" applyFont="1" applyFill="1" applyBorder="1" applyAlignment="1" applyProtection="1">
      <alignment horizontal="center" vertical="center"/>
    </xf>
    <xf numFmtId="164" fontId="59" fillId="6" borderId="24" xfId="0" applyNumberFormat="1" applyFont="1" applyFill="1" applyBorder="1" applyAlignment="1" applyProtection="1">
      <alignment horizontal="center" vertical="center"/>
    </xf>
    <xf numFmtId="0" fontId="59" fillId="6" borderId="29" xfId="0" applyFont="1" applyFill="1" applyBorder="1"/>
    <xf numFmtId="2" fontId="59" fillId="6" borderId="24" xfId="0" applyNumberFormat="1" applyFont="1" applyFill="1" applyBorder="1" applyAlignment="1" applyProtection="1">
      <alignment horizontal="center" vertical="center"/>
    </xf>
    <xf numFmtId="164" fontId="59" fillId="6" borderId="30" xfId="0" applyNumberFormat="1" applyFont="1" applyFill="1" applyBorder="1" applyAlignment="1">
      <alignment horizontal="center" vertical="center"/>
    </xf>
    <xf numFmtId="2" fontId="59" fillId="6" borderId="30" xfId="0" applyNumberFormat="1" applyFont="1" applyFill="1" applyBorder="1" applyAlignment="1">
      <alignment horizontal="center" vertical="center"/>
    </xf>
    <xf numFmtId="164" fontId="59" fillId="6" borderId="0" xfId="0" applyNumberFormat="1" applyFont="1" applyFill="1" applyBorder="1" applyAlignment="1">
      <alignment horizontal="center" vertical="center"/>
    </xf>
    <xf numFmtId="164" fontId="0" fillId="6" borderId="0" xfId="0" applyNumberFormat="1" applyFill="1" applyBorder="1"/>
    <xf numFmtId="0" fontId="59" fillId="6" borderId="0" xfId="0" applyFont="1" applyFill="1" applyBorder="1" applyAlignment="1">
      <alignment horizontal="right" vertical="center"/>
    </xf>
    <xf numFmtId="2" fontId="59" fillId="6" borderId="0" xfId="0" applyNumberFormat="1" applyFont="1" applyFill="1" applyBorder="1" applyAlignment="1">
      <alignment horizontal="center" vertical="center"/>
    </xf>
    <xf numFmtId="0" fontId="59" fillId="6" borderId="0" xfId="0" applyFont="1" applyFill="1" applyBorder="1" applyAlignment="1">
      <alignment horizontal="right"/>
    </xf>
    <xf numFmtId="0" fontId="0" fillId="6" borderId="0" xfId="0" applyFill="1" applyBorder="1" applyAlignment="1">
      <alignment horizontal="left" vertical="center"/>
    </xf>
    <xf numFmtId="0" fontId="62" fillId="6" borderId="0" xfId="0" applyFont="1" applyFill="1" applyAlignment="1">
      <alignment horizontal="left" vertical="center"/>
    </xf>
    <xf numFmtId="0" fontId="59" fillId="6" borderId="0" xfId="0" applyFont="1" applyFill="1" applyAlignment="1">
      <alignment horizontal="left" vertical="center" wrapText="1"/>
    </xf>
    <xf numFmtId="0" fontId="59" fillId="6" borderId="0" xfId="0" applyFont="1" applyFill="1" applyAlignment="1">
      <alignment vertical="center"/>
    </xf>
    <xf numFmtId="2" fontId="59" fillId="6" borderId="0" xfId="0" applyNumberFormat="1" applyFont="1" applyFill="1" applyAlignment="1">
      <alignment horizontal="center" vertical="center"/>
    </xf>
    <xf numFmtId="0" fontId="0" fillId="5" borderId="0" xfId="0" applyFill="1" applyProtection="1">
      <protection hidden="1"/>
    </xf>
    <xf numFmtId="0" fontId="24" fillId="3" borderId="0" xfId="0" applyFont="1" applyFill="1" applyProtection="1">
      <protection hidden="1"/>
    </xf>
    <xf numFmtId="0" fontId="24" fillId="6" borderId="0" xfId="0" applyFont="1" applyFill="1" applyProtection="1">
      <protection hidden="1"/>
    </xf>
    <xf numFmtId="0" fontId="7" fillId="6" borderId="0" xfId="0" applyFont="1" applyFill="1" applyProtection="1">
      <protection hidden="1"/>
    </xf>
    <xf numFmtId="0" fontId="7" fillId="6" borderId="0" xfId="0" applyFont="1" applyFill="1" applyBorder="1" applyProtection="1">
      <protection hidden="1"/>
    </xf>
    <xf numFmtId="0" fontId="0" fillId="6" borderId="0" xfId="0" applyFill="1" applyBorder="1" applyAlignment="1" applyProtection="1">
      <alignment horizontal="left" vertical="center"/>
      <protection hidden="1"/>
    </xf>
    <xf numFmtId="0" fontId="0" fillId="6" borderId="0" xfId="0" applyFill="1" applyBorder="1" applyAlignment="1" applyProtection="1">
      <alignment horizontal="center" vertical="center" wrapText="1"/>
      <protection hidden="1"/>
    </xf>
    <xf numFmtId="0" fontId="19" fillId="6" borderId="0" xfId="0" applyFont="1" applyFill="1" applyBorder="1" applyAlignment="1" applyProtection="1">
      <alignment horizontal="left" vertical="center"/>
      <protection hidden="1"/>
    </xf>
    <xf numFmtId="2" fontId="2" fillId="6" borderId="7" xfId="0" applyNumberFormat="1" applyFont="1" applyFill="1" applyBorder="1" applyAlignment="1" applyProtection="1">
      <alignment horizontal="center" vertical="center"/>
      <protection hidden="1"/>
    </xf>
    <xf numFmtId="164" fontId="4" fillId="6" borderId="0" xfId="0" applyNumberFormat="1" applyFont="1" applyFill="1" applyBorder="1" applyAlignment="1" applyProtection="1">
      <alignment horizontal="center" vertical="center"/>
      <protection hidden="1"/>
    </xf>
    <xf numFmtId="0" fontId="23" fillId="5" borderId="0" xfId="0" applyFont="1" applyFill="1" applyAlignment="1" applyProtection="1">
      <alignment vertical="center"/>
      <protection hidden="1"/>
    </xf>
    <xf numFmtId="164" fontId="4" fillId="6" borderId="1" xfId="0" applyNumberFormat="1" applyFont="1" applyFill="1" applyBorder="1" applyAlignment="1" applyProtection="1">
      <alignment horizontal="center" vertical="center" wrapText="1"/>
      <protection hidden="1"/>
    </xf>
    <xf numFmtId="0" fontId="0" fillId="6" borderId="0" xfId="0" applyFill="1" applyAlignment="1">
      <alignment horizontal="right" vertical="center"/>
    </xf>
    <xf numFmtId="0" fontId="59" fillId="6" borderId="0" xfId="0" applyFont="1" applyFill="1" applyBorder="1" applyProtection="1">
      <protection hidden="1"/>
    </xf>
    <xf numFmtId="0" fontId="0" fillId="5" borderId="0" xfId="0" applyFill="1" applyBorder="1" applyProtection="1">
      <protection hidden="1"/>
    </xf>
    <xf numFmtId="0" fontId="64" fillId="6" borderId="6" xfId="0" applyFont="1" applyFill="1" applyBorder="1" applyAlignment="1" applyProtection="1">
      <alignment horizontal="center" vertical="center"/>
      <protection hidden="1"/>
    </xf>
    <xf numFmtId="0" fontId="65" fillId="6" borderId="0" xfId="0" applyFont="1" applyFill="1" applyBorder="1" applyAlignment="1" applyProtection="1">
      <protection hidden="1"/>
    </xf>
    <xf numFmtId="0" fontId="65" fillId="6" borderId="6" xfId="0" applyFont="1" applyFill="1" applyBorder="1" applyAlignment="1" applyProtection="1">
      <protection hidden="1"/>
    </xf>
    <xf numFmtId="0" fontId="25" fillId="4" borderId="0" xfId="0" applyFont="1" applyFill="1" applyProtection="1">
      <protection hidden="1"/>
    </xf>
    <xf numFmtId="0" fontId="64" fillId="6" borderId="7" xfId="0" applyFont="1" applyFill="1" applyBorder="1" applyAlignment="1" applyProtection="1">
      <alignment horizontal="center" vertical="center"/>
      <protection hidden="1"/>
    </xf>
    <xf numFmtId="0" fontId="65" fillId="6" borderId="3" xfId="0" applyFont="1" applyFill="1" applyBorder="1" applyAlignment="1" applyProtection="1">
      <protection hidden="1"/>
    </xf>
    <xf numFmtId="0" fontId="65" fillId="6" borderId="7" xfId="0" applyFont="1" applyFill="1" applyBorder="1" applyAlignment="1" applyProtection="1">
      <protection hidden="1"/>
    </xf>
    <xf numFmtId="164" fontId="66" fillId="6" borderId="0" xfId="0" applyNumberFormat="1" applyFont="1" applyFill="1" applyAlignment="1">
      <alignment horizontal="center" vertical="center"/>
    </xf>
    <xf numFmtId="0" fontId="66" fillId="6" borderId="17" xfId="0" applyFont="1" applyFill="1" applyBorder="1" applyAlignment="1">
      <alignment horizontal="center" vertical="center"/>
    </xf>
    <xf numFmtId="0" fontId="59" fillId="6" borderId="0" xfId="0" applyFont="1" applyFill="1" applyBorder="1" applyAlignment="1" applyProtection="1">
      <alignment horizontal="center" vertical="center"/>
      <protection hidden="1"/>
    </xf>
    <xf numFmtId="0" fontId="59" fillId="6" borderId="0" xfId="0" applyFont="1" applyFill="1" applyBorder="1" applyAlignment="1" applyProtection="1">
      <alignment vertical="center"/>
      <protection hidden="1"/>
    </xf>
    <xf numFmtId="0" fontId="67" fillId="6" borderId="0" xfId="0" applyFont="1" applyFill="1"/>
    <xf numFmtId="0" fontId="68" fillId="6" borderId="0" xfId="0" applyFont="1" applyFill="1" applyAlignment="1">
      <alignment horizontal="left" vertical="center"/>
    </xf>
    <xf numFmtId="0" fontId="69" fillId="6" borderId="0" xfId="0" applyFont="1" applyFill="1" applyAlignment="1">
      <alignment horizontal="left" vertical="center"/>
    </xf>
    <xf numFmtId="0" fontId="65" fillId="6" borderId="7" xfId="0" applyFont="1" applyFill="1" applyBorder="1" applyAlignment="1" applyProtection="1">
      <alignment horizontal="center" vertical="center"/>
      <protection hidden="1"/>
    </xf>
    <xf numFmtId="0" fontId="65" fillId="6" borderId="6" xfId="0" applyFont="1" applyFill="1" applyBorder="1" applyAlignment="1" applyProtection="1">
      <alignment horizontal="center" vertical="center"/>
      <protection hidden="1"/>
    </xf>
    <xf numFmtId="0" fontId="65" fillId="6" borderId="3" xfId="0" applyFont="1" applyFill="1" applyBorder="1" applyAlignment="1" applyProtection="1">
      <alignment horizontal="center" vertical="center"/>
      <protection hidden="1"/>
    </xf>
    <xf numFmtId="2" fontId="2" fillId="6" borderId="0" xfId="0" applyNumberFormat="1" applyFont="1" applyFill="1" applyBorder="1" applyAlignment="1">
      <alignment horizontal="center" vertical="center"/>
    </xf>
    <xf numFmtId="0" fontId="0" fillId="6" borderId="0" xfId="0" applyFill="1" applyBorder="1" applyAlignment="1" applyProtection="1">
      <alignment horizontal="center" vertical="center"/>
      <protection hidden="1"/>
    </xf>
    <xf numFmtId="0" fontId="59" fillId="6" borderId="0" xfId="0" applyFont="1" applyFill="1" applyAlignment="1"/>
    <xf numFmtId="0" fontId="4" fillId="6" borderId="0" xfId="0" applyFont="1" applyFill="1" applyBorder="1" applyAlignment="1">
      <alignment horizontal="center" vertical="center"/>
    </xf>
    <xf numFmtId="164" fontId="2" fillId="6" borderId="0" xfId="0" applyNumberFormat="1" applyFont="1" applyFill="1" applyBorder="1" applyAlignment="1">
      <alignment horizontal="center" vertical="center"/>
    </xf>
    <xf numFmtId="2" fontId="0" fillId="6" borderId="0" xfId="0" applyNumberFormat="1" applyFill="1" applyAlignment="1"/>
    <xf numFmtId="0" fontId="6" fillId="6" borderId="6" xfId="0" applyFont="1" applyFill="1" applyBorder="1" applyAlignment="1">
      <alignment horizontal="center" vertical="center"/>
    </xf>
    <xf numFmtId="0" fontId="6" fillId="6" borderId="3" xfId="0" applyFont="1" applyFill="1" applyBorder="1" applyAlignment="1">
      <alignment horizontal="center" vertical="center"/>
    </xf>
    <xf numFmtId="0" fontId="6" fillId="6" borderId="7" xfId="0" applyFont="1" applyFill="1" applyBorder="1" applyAlignment="1">
      <alignment horizontal="center" vertical="center"/>
    </xf>
    <xf numFmtId="164" fontId="66" fillId="6" borderId="0" xfId="0" applyNumberFormat="1" applyFont="1" applyFill="1" applyBorder="1" applyAlignment="1">
      <alignment horizontal="center" vertical="center"/>
    </xf>
    <xf numFmtId="0" fontId="66" fillId="6" borderId="0" xfId="0" applyFont="1" applyFill="1" applyBorder="1" applyProtection="1">
      <protection hidden="1"/>
    </xf>
    <xf numFmtId="0" fontId="25" fillId="6" borderId="0" xfId="0" applyFont="1" applyFill="1" applyAlignment="1" applyProtection="1">
      <alignment vertical="center"/>
      <protection hidden="1"/>
    </xf>
    <xf numFmtId="2" fontId="2" fillId="6" borderId="27" xfId="0" applyNumberFormat="1" applyFont="1" applyFill="1" applyBorder="1" applyAlignment="1" applyProtection="1">
      <alignment horizontal="center" vertical="center"/>
      <protection hidden="1"/>
    </xf>
    <xf numFmtId="2" fontId="2" fillId="6" borderId="29" xfId="0" applyNumberFormat="1" applyFont="1" applyFill="1" applyBorder="1" applyAlignment="1" applyProtection="1">
      <alignment horizontal="center" vertical="center"/>
      <protection hidden="1"/>
    </xf>
    <xf numFmtId="2" fontId="2" fillId="6" borderId="28" xfId="0" applyNumberFormat="1" applyFont="1" applyFill="1" applyBorder="1" applyAlignment="1" applyProtection="1">
      <alignment horizontal="center" vertical="center"/>
      <protection hidden="1"/>
    </xf>
    <xf numFmtId="0" fontId="66" fillId="6" borderId="0" xfId="0" applyFont="1" applyFill="1"/>
    <xf numFmtId="164" fontId="2" fillId="6" borderId="0" xfId="0" applyNumberFormat="1" applyFont="1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2" fontId="4" fillId="6" borderId="13" xfId="0" applyNumberFormat="1" applyFont="1" applyFill="1" applyBorder="1" applyAlignment="1" applyProtection="1">
      <alignment horizontal="center" vertical="center"/>
      <protection hidden="1"/>
    </xf>
    <xf numFmtId="2" fontId="4" fillId="6" borderId="26" xfId="0" applyNumberFormat="1" applyFont="1" applyFill="1" applyBorder="1" applyAlignment="1" applyProtection="1">
      <alignment horizontal="center" vertical="center"/>
      <protection hidden="1"/>
    </xf>
    <xf numFmtId="2" fontId="4" fillId="6" borderId="14" xfId="0" applyNumberFormat="1" applyFont="1" applyFill="1" applyBorder="1" applyAlignment="1" applyProtection="1">
      <alignment horizontal="center" vertical="center"/>
      <protection hidden="1"/>
    </xf>
    <xf numFmtId="2" fontId="2" fillId="6" borderId="6" xfId="0" applyNumberFormat="1" applyFont="1" applyFill="1" applyBorder="1" applyAlignment="1" applyProtection="1">
      <alignment horizontal="center" vertical="center"/>
      <protection hidden="1"/>
    </xf>
    <xf numFmtId="0" fontId="59" fillId="6" borderId="20" xfId="0" applyFont="1" applyFill="1" applyBorder="1" applyAlignment="1" applyProtection="1">
      <alignment horizontal="center" vertical="center"/>
      <protection hidden="1"/>
    </xf>
    <xf numFmtId="0" fontId="59" fillId="6" borderId="21" xfId="0" applyFont="1" applyFill="1" applyBorder="1" applyAlignment="1" applyProtection="1">
      <alignment horizontal="center" vertical="center"/>
      <protection hidden="1"/>
    </xf>
    <xf numFmtId="0" fontId="25" fillId="6" borderId="0" xfId="0" applyFont="1" applyFill="1" applyProtection="1">
      <protection hidden="1"/>
    </xf>
    <xf numFmtId="0" fontId="0" fillId="6" borderId="0" xfId="0" applyFill="1" applyProtection="1">
      <protection hidden="1"/>
    </xf>
    <xf numFmtId="0" fontId="61" fillId="6" borderId="0" xfId="2" applyFont="1" applyFill="1" applyBorder="1" applyProtection="1">
      <protection hidden="1"/>
    </xf>
    <xf numFmtId="49" fontId="2" fillId="6" borderId="0" xfId="0" applyNumberFormat="1" applyFont="1" applyFill="1" applyBorder="1" applyAlignment="1" applyProtection="1">
      <alignment horizontal="center" vertical="center" wrapText="1"/>
      <protection hidden="1"/>
    </xf>
    <xf numFmtId="1" fontId="59" fillId="6" borderId="24" xfId="0" applyNumberFormat="1" applyFont="1" applyFill="1" applyBorder="1" applyAlignment="1" applyProtection="1">
      <alignment horizontal="center" vertical="center"/>
    </xf>
    <xf numFmtId="0" fontId="0" fillId="6" borderId="17" xfId="0" applyFill="1" applyBorder="1" applyAlignment="1">
      <alignment horizontal="center" vertical="center"/>
    </xf>
    <xf numFmtId="2" fontId="2" fillId="6" borderId="30" xfId="0" applyNumberFormat="1" applyFont="1" applyFill="1" applyBorder="1" applyAlignment="1">
      <alignment horizontal="center" vertical="center"/>
    </xf>
    <xf numFmtId="2" fontId="66" fillId="6" borderId="0" xfId="0" applyNumberFormat="1" applyFont="1" applyFill="1" applyBorder="1" applyAlignment="1">
      <alignment horizontal="left" vertical="center"/>
    </xf>
    <xf numFmtId="164" fontId="66" fillId="6" borderId="0" xfId="0" applyNumberFormat="1" applyFont="1" applyFill="1" applyBorder="1" applyAlignment="1">
      <alignment horizontal="left" vertical="center"/>
    </xf>
    <xf numFmtId="0" fontId="0" fillId="6" borderId="0" xfId="0" applyFill="1" applyBorder="1" applyProtection="1">
      <protection hidden="1"/>
    </xf>
    <xf numFmtId="164" fontId="4" fillId="2" borderId="0" xfId="0" applyNumberFormat="1" applyFont="1" applyFill="1" applyBorder="1" applyAlignment="1" applyProtection="1">
      <alignment horizontal="center" vertical="center" wrapText="1"/>
      <protection locked="0" hidden="1"/>
    </xf>
    <xf numFmtId="0" fontId="6" fillId="6" borderId="0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vertical="center"/>
    </xf>
    <xf numFmtId="0" fontId="19" fillId="6" borderId="0" xfId="0" applyFont="1" applyFill="1" applyBorder="1" applyAlignment="1" applyProtection="1">
      <alignment horizontal="left" vertical="center" indent="2"/>
      <protection hidden="1"/>
    </xf>
    <xf numFmtId="0" fontId="59" fillId="6" borderId="31" xfId="0" applyFont="1" applyFill="1" applyBorder="1" applyAlignment="1">
      <alignment horizontal="left" vertical="center"/>
    </xf>
    <xf numFmtId="164" fontId="59" fillId="6" borderId="32" xfId="0" applyNumberFormat="1" applyFont="1" applyFill="1" applyBorder="1" applyAlignment="1" applyProtection="1">
      <alignment horizontal="center" vertical="center"/>
    </xf>
    <xf numFmtId="164" fontId="59" fillId="6" borderId="33" xfId="0" applyNumberFormat="1" applyFont="1" applyFill="1" applyBorder="1" applyAlignment="1" applyProtection="1">
      <alignment horizontal="center" vertical="center"/>
    </xf>
    <xf numFmtId="0" fontId="59" fillId="6" borderId="15" xfId="0" applyNumberFormat="1" applyFont="1" applyFill="1" applyBorder="1" applyAlignment="1" applyProtection="1">
      <alignment horizontal="center" vertical="center"/>
    </xf>
    <xf numFmtId="0" fontId="59" fillId="6" borderId="24" xfId="0" applyNumberFormat="1" applyFont="1" applyFill="1" applyBorder="1" applyAlignment="1">
      <alignment horizontal="center" vertical="center"/>
    </xf>
    <xf numFmtId="0" fontId="3" fillId="5" borderId="125" xfId="0" applyFont="1" applyFill="1" applyBorder="1" applyAlignment="1" applyProtection="1">
      <alignment horizontal="center" vertical="center"/>
      <protection hidden="1"/>
    </xf>
    <xf numFmtId="0" fontId="3" fillId="5" borderId="126" xfId="0" applyFont="1" applyFill="1" applyBorder="1" applyAlignment="1" applyProtection="1">
      <alignment horizontal="center" vertical="center"/>
      <protection hidden="1"/>
    </xf>
    <xf numFmtId="0" fontId="3" fillId="5" borderId="127" xfId="0" applyFont="1" applyFill="1" applyBorder="1" applyAlignment="1" applyProtection="1">
      <alignment horizontal="center" vertical="center"/>
      <protection hidden="1"/>
    </xf>
    <xf numFmtId="0" fontId="59" fillId="6" borderId="20" xfId="0" applyFont="1" applyFill="1" applyBorder="1" applyAlignment="1" applyProtection="1">
      <alignment horizontal="left" vertical="center"/>
      <protection hidden="1"/>
    </xf>
    <xf numFmtId="2" fontId="70" fillId="7" borderId="125" xfId="0" applyNumberFormat="1" applyFont="1" applyFill="1" applyBorder="1" applyAlignment="1" applyProtection="1">
      <alignment horizontal="right" vertical="center"/>
      <protection hidden="1"/>
    </xf>
    <xf numFmtId="2" fontId="70" fillId="7" borderId="126" xfId="0" applyNumberFormat="1" applyFont="1" applyFill="1" applyBorder="1" applyAlignment="1" applyProtection="1">
      <alignment horizontal="right" vertical="center"/>
      <protection hidden="1"/>
    </xf>
    <xf numFmtId="2" fontId="70" fillId="7" borderId="127" xfId="0" applyNumberFormat="1" applyFont="1" applyFill="1" applyBorder="1" applyAlignment="1" applyProtection="1">
      <alignment horizontal="right" vertical="center"/>
      <protection hidden="1"/>
    </xf>
    <xf numFmtId="0" fontId="59" fillId="6" borderId="0" xfId="0" applyFont="1" applyFill="1" applyBorder="1" applyAlignment="1">
      <alignment horizontal="left" vertical="center"/>
    </xf>
    <xf numFmtId="0" fontId="59" fillId="6" borderId="0" xfId="0" applyNumberFormat="1" applyFont="1" applyFill="1" applyBorder="1" applyAlignment="1" applyProtection="1">
      <alignment horizontal="center" vertical="center"/>
    </xf>
    <xf numFmtId="1" fontId="59" fillId="6" borderId="0" xfId="0" applyNumberFormat="1" applyFont="1" applyFill="1" applyBorder="1" applyAlignment="1" applyProtection="1">
      <alignment horizontal="center" vertical="center"/>
    </xf>
    <xf numFmtId="164" fontId="59" fillId="6" borderId="0" xfId="0" applyNumberFormat="1" applyFont="1" applyFill="1" applyBorder="1" applyAlignment="1" applyProtection="1">
      <alignment horizontal="center" vertical="center"/>
    </xf>
    <xf numFmtId="2" fontId="59" fillId="6" borderId="0" xfId="0" applyNumberFormat="1" applyFont="1" applyFill="1" applyBorder="1" applyAlignment="1" applyProtection="1">
      <alignment horizontal="center" vertical="center"/>
    </xf>
    <xf numFmtId="0" fontId="59" fillId="6" borderId="17" xfId="0" applyFont="1" applyFill="1" applyBorder="1" applyAlignment="1">
      <alignment horizontal="left" vertical="center"/>
    </xf>
    <xf numFmtId="0" fontId="59" fillId="6" borderId="17" xfId="0" applyFont="1" applyFill="1" applyBorder="1" applyAlignment="1">
      <alignment horizontal="center"/>
    </xf>
    <xf numFmtId="0" fontId="59" fillId="6" borderId="15" xfId="0" applyFont="1" applyFill="1" applyBorder="1"/>
    <xf numFmtId="0" fontId="59" fillId="6" borderId="24" xfId="0" applyFont="1" applyFill="1" applyBorder="1"/>
    <xf numFmtId="0" fontId="0" fillId="6" borderId="0" xfId="0" applyFill="1" applyBorder="1" applyAlignment="1">
      <alignment horizontal="center"/>
    </xf>
    <xf numFmtId="164" fontId="4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71" fillId="6" borderId="0" xfId="0" applyFont="1" applyFill="1" applyBorder="1" applyAlignment="1" applyProtection="1">
      <alignment horizontal="center" vertical="center"/>
      <protection hidden="1"/>
    </xf>
    <xf numFmtId="2" fontId="59" fillId="6" borderId="0" xfId="0" applyNumberFormat="1" applyFont="1" applyFill="1"/>
    <xf numFmtId="0" fontId="0" fillId="6" borderId="0" xfId="0" applyFill="1" applyAlignment="1">
      <alignment horizontal="center"/>
    </xf>
    <xf numFmtId="0" fontId="59" fillId="6" borderId="0" xfId="0" applyFont="1" applyFill="1" applyBorder="1" applyAlignment="1">
      <alignment horizontal="center" vertical="top"/>
    </xf>
    <xf numFmtId="0" fontId="62" fillId="6" borderId="0" xfId="0" applyFont="1" applyFill="1" applyBorder="1" applyAlignment="1">
      <alignment horizontal="center" vertical="center"/>
    </xf>
    <xf numFmtId="2" fontId="70" fillId="6" borderId="0" xfId="0" applyNumberFormat="1" applyFont="1" applyFill="1" applyBorder="1" applyAlignment="1" applyProtection="1">
      <alignment horizontal="right" vertical="center"/>
      <protection hidden="1"/>
    </xf>
    <xf numFmtId="0" fontId="17" fillId="4" borderId="0" xfId="2" applyFill="1" applyProtection="1">
      <protection hidden="1"/>
    </xf>
    <xf numFmtId="0" fontId="17" fillId="6" borderId="13" xfId="2" applyFont="1" applyFill="1" applyBorder="1" applyAlignment="1" applyProtection="1">
      <alignment horizontal="left" vertical="center"/>
      <protection hidden="1"/>
    </xf>
    <xf numFmtId="0" fontId="32" fillId="4" borderId="0" xfId="2" applyFont="1" applyFill="1" applyProtection="1">
      <protection hidden="1"/>
    </xf>
    <xf numFmtId="0" fontId="24" fillId="3" borderId="0" xfId="2" applyFont="1" applyFill="1" applyProtection="1">
      <protection hidden="1"/>
    </xf>
    <xf numFmtId="0" fontId="7" fillId="3" borderId="0" xfId="2" applyFont="1" applyFill="1" applyProtection="1">
      <protection hidden="1"/>
    </xf>
    <xf numFmtId="0" fontId="33" fillId="4" borderId="0" xfId="2" applyFont="1" applyFill="1" applyProtection="1">
      <protection hidden="1"/>
    </xf>
    <xf numFmtId="0" fontId="17" fillId="6" borderId="0" xfId="2" applyFill="1" applyProtection="1">
      <protection hidden="1"/>
    </xf>
    <xf numFmtId="0" fontId="34" fillId="4" borderId="0" xfId="2" applyFont="1" applyFill="1" applyBorder="1" applyAlignment="1" applyProtection="1">
      <alignment horizontal="right" vertical="center" wrapText="1" indent="1"/>
      <protection hidden="1"/>
    </xf>
    <xf numFmtId="164" fontId="18" fillId="4" borderId="0" xfId="2" applyNumberFormat="1" applyFont="1" applyFill="1" applyBorder="1" applyAlignment="1" applyProtection="1">
      <alignment horizontal="center" vertical="center"/>
      <protection hidden="1"/>
    </xf>
    <xf numFmtId="0" fontId="17" fillId="4" borderId="0" xfId="2" applyFont="1" applyFill="1" applyProtection="1">
      <protection hidden="1"/>
    </xf>
    <xf numFmtId="0" fontId="17" fillId="4" borderId="19" xfId="2" applyFill="1" applyBorder="1" applyAlignment="1" applyProtection="1">
      <alignment horizontal="center" vertical="center" wrapText="1"/>
      <protection hidden="1"/>
    </xf>
    <xf numFmtId="0" fontId="25" fillId="4" borderId="0" xfId="2" applyFont="1" applyFill="1" applyProtection="1">
      <protection hidden="1"/>
    </xf>
    <xf numFmtId="0" fontId="17" fillId="4" borderId="0" xfId="2" applyFill="1" applyAlignment="1" applyProtection="1">
      <alignment horizontal="left" vertical="center"/>
      <protection hidden="1"/>
    </xf>
    <xf numFmtId="0" fontId="18" fillId="4" borderId="0" xfId="2" applyFont="1" applyFill="1" applyProtection="1">
      <protection hidden="1"/>
    </xf>
    <xf numFmtId="0" fontId="18" fillId="4" borderId="0" xfId="2" applyFont="1" applyFill="1" applyAlignment="1" applyProtection="1">
      <alignment horizontal="center"/>
      <protection hidden="1"/>
    </xf>
    <xf numFmtId="0" fontId="2" fillId="4" borderId="0" xfId="2" applyFont="1" applyFill="1" applyBorder="1" applyAlignment="1" applyProtection="1">
      <alignment horizontal="center" vertical="center" wrapText="1"/>
      <protection hidden="1"/>
    </xf>
    <xf numFmtId="0" fontId="36" fillId="4" borderId="0" xfId="2" applyFont="1" applyFill="1" applyBorder="1" applyAlignment="1" applyProtection="1">
      <alignment horizontal="center" vertical="center"/>
      <protection hidden="1"/>
    </xf>
    <xf numFmtId="0" fontId="36" fillId="4" borderId="0" xfId="2" applyFont="1" applyFill="1" applyAlignment="1" applyProtection="1">
      <alignment horizontal="center" vertical="center"/>
      <protection hidden="1"/>
    </xf>
    <xf numFmtId="0" fontId="34" fillId="4" borderId="0" xfId="2" applyFont="1" applyFill="1" applyBorder="1" applyAlignment="1" applyProtection="1">
      <alignment horizontal="center" vertical="center" wrapText="1"/>
      <protection hidden="1"/>
    </xf>
    <xf numFmtId="0" fontId="17" fillId="4" borderId="0" xfId="2" applyFont="1" applyFill="1" applyAlignment="1" applyProtection="1">
      <alignment horizontal="center" vertical="center"/>
      <protection hidden="1"/>
    </xf>
    <xf numFmtId="0" fontId="2" fillId="4" borderId="0" xfId="2" applyFont="1" applyFill="1" applyBorder="1" applyAlignment="1" applyProtection="1">
      <alignment vertical="center" wrapText="1"/>
      <protection hidden="1"/>
    </xf>
    <xf numFmtId="164" fontId="4" fillId="2" borderId="1" xfId="2" applyNumberFormat="1" applyFont="1" applyFill="1" applyBorder="1" applyAlignment="1" applyProtection="1">
      <alignment horizontal="center" vertical="center" wrapText="1"/>
      <protection locked="0" hidden="1"/>
    </xf>
    <xf numFmtId="0" fontId="34" fillId="4" borderId="27" xfId="2" applyFont="1" applyFill="1" applyBorder="1" applyAlignment="1" applyProtection="1">
      <alignment horizontal="right" vertical="center" wrapText="1" indent="1"/>
      <protection hidden="1"/>
    </xf>
    <xf numFmtId="164" fontId="18" fillId="4" borderId="13" xfId="2" applyNumberFormat="1" applyFont="1" applyFill="1" applyBorder="1" applyAlignment="1" applyProtection="1">
      <alignment horizontal="center" vertical="center"/>
      <protection hidden="1"/>
    </xf>
    <xf numFmtId="0" fontId="2" fillId="4" borderId="15" xfId="2" applyFont="1" applyFill="1" applyBorder="1" applyAlignment="1" applyProtection="1">
      <alignment horizontal="center" vertical="center" wrapText="1"/>
      <protection hidden="1"/>
    </xf>
    <xf numFmtId="0" fontId="40" fillId="4" borderId="0" xfId="2" applyFont="1" applyFill="1" applyBorder="1" applyAlignment="1" applyProtection="1">
      <alignment horizontal="center" vertical="center"/>
      <protection hidden="1"/>
    </xf>
    <xf numFmtId="0" fontId="2" fillId="4" borderId="34" xfId="2" applyFont="1" applyFill="1" applyBorder="1" applyAlignment="1" applyProtection="1">
      <alignment horizontal="left" vertical="center" wrapText="1"/>
      <protection hidden="1"/>
    </xf>
    <xf numFmtId="164" fontId="4" fillId="4" borderId="31" xfId="2" applyNumberFormat="1" applyFont="1" applyFill="1" applyBorder="1" applyAlignment="1" applyProtection="1">
      <alignment horizontal="center" vertical="center" wrapText="1"/>
      <protection hidden="1"/>
    </xf>
    <xf numFmtId="164" fontId="4" fillId="4" borderId="33" xfId="2" applyNumberFormat="1" applyFont="1" applyFill="1" applyBorder="1" applyAlignment="1" applyProtection="1">
      <alignment horizontal="center" vertical="center" wrapText="1"/>
      <protection hidden="1"/>
    </xf>
    <xf numFmtId="164" fontId="4" fillId="2" borderId="35" xfId="2" applyNumberFormat="1" applyFont="1" applyFill="1" applyBorder="1" applyAlignment="1" applyProtection="1">
      <alignment horizontal="center" vertical="center" wrapText="1"/>
      <protection locked="0" hidden="1"/>
    </xf>
    <xf numFmtId="0" fontId="34" fillId="4" borderId="28" xfId="2" applyFont="1" applyFill="1" applyBorder="1" applyAlignment="1" applyProtection="1">
      <alignment horizontal="right" vertical="center" wrapText="1" indent="1"/>
      <protection hidden="1"/>
    </xf>
    <xf numFmtId="164" fontId="18" fillId="4" borderId="14" xfId="2" applyNumberFormat="1" applyFont="1" applyFill="1" applyBorder="1" applyAlignment="1" applyProtection="1">
      <alignment horizontal="center" vertical="center"/>
      <protection hidden="1"/>
    </xf>
    <xf numFmtId="2" fontId="17" fillId="4" borderId="15" xfId="2" applyNumberFormat="1" applyFill="1" applyBorder="1" applyAlignment="1" applyProtection="1">
      <alignment horizontal="center"/>
      <protection hidden="1"/>
    </xf>
    <xf numFmtId="0" fontId="17" fillId="4" borderId="0" xfId="2" applyFill="1" applyBorder="1" applyAlignment="1" applyProtection="1">
      <alignment horizontal="center"/>
      <protection hidden="1"/>
    </xf>
    <xf numFmtId="0" fontId="2" fillId="4" borderId="26" xfId="2" applyFont="1" applyFill="1" applyBorder="1" applyAlignment="1" applyProtection="1">
      <alignment horizontal="left" vertical="center" wrapText="1"/>
      <protection hidden="1"/>
    </xf>
    <xf numFmtId="164" fontId="4" fillId="4" borderId="29" xfId="2" applyNumberFormat="1" applyFont="1" applyFill="1" applyBorder="1" applyAlignment="1" applyProtection="1">
      <alignment horizontal="center" vertical="center" wrapText="1"/>
      <protection hidden="1"/>
    </xf>
    <xf numFmtId="164" fontId="4" fillId="4" borderId="24" xfId="2" applyNumberFormat="1" applyFont="1" applyFill="1" applyBorder="1" applyAlignment="1" applyProtection="1">
      <alignment horizontal="center" vertical="center" wrapText="1"/>
      <protection hidden="1"/>
    </xf>
    <xf numFmtId="0" fontId="17" fillId="4" borderId="0" xfId="2" applyFill="1" applyProtection="1">
      <protection locked="0" hidden="1"/>
    </xf>
    <xf numFmtId="0" fontId="34" fillId="4" borderId="0" xfId="2" applyFont="1" applyFill="1" applyBorder="1" applyAlignment="1" applyProtection="1">
      <alignment horizontal="left" vertical="center" wrapText="1"/>
      <protection hidden="1"/>
    </xf>
    <xf numFmtId="0" fontId="2" fillId="4" borderId="36" xfId="2" applyFont="1" applyFill="1" applyBorder="1" applyAlignment="1" applyProtection="1">
      <alignment horizontal="left" vertical="center" wrapText="1"/>
      <protection hidden="1"/>
    </xf>
    <xf numFmtId="164" fontId="4" fillId="4" borderId="37" xfId="2" applyNumberFormat="1" applyFont="1" applyFill="1" applyBorder="1" applyAlignment="1" applyProtection="1">
      <alignment horizontal="center" vertical="center" wrapText="1"/>
      <protection hidden="1"/>
    </xf>
    <xf numFmtId="164" fontId="4" fillId="4" borderId="38" xfId="2" applyNumberFormat="1" applyFont="1" applyFill="1" applyBorder="1" applyAlignment="1" applyProtection="1">
      <alignment horizontal="center" vertical="center" wrapText="1"/>
      <protection hidden="1"/>
    </xf>
    <xf numFmtId="164" fontId="4" fillId="4" borderId="27" xfId="2" applyNumberFormat="1" applyFont="1" applyFill="1" applyBorder="1" applyAlignment="1" applyProtection="1">
      <alignment horizontal="center" vertical="center" wrapText="1"/>
      <protection hidden="1"/>
    </xf>
    <xf numFmtId="164" fontId="4" fillId="4" borderId="23" xfId="2" applyNumberFormat="1" applyFont="1" applyFill="1" applyBorder="1" applyAlignment="1" applyProtection="1">
      <alignment horizontal="center" vertical="center" wrapText="1"/>
      <protection hidden="1"/>
    </xf>
    <xf numFmtId="0" fontId="2" fillId="4" borderId="0" xfId="2" applyFont="1" applyFill="1" applyBorder="1" applyAlignment="1" applyProtection="1">
      <alignment vertical="center"/>
      <protection hidden="1"/>
    </xf>
    <xf numFmtId="0" fontId="17" fillId="4" borderId="0" xfId="2" applyFill="1" applyAlignment="1" applyProtection="1">
      <alignment horizontal="center" vertical="center"/>
      <protection hidden="1"/>
    </xf>
    <xf numFmtId="0" fontId="17" fillId="6" borderId="19" xfId="2" applyFill="1" applyBorder="1" applyAlignment="1" applyProtection="1">
      <alignment horizontal="center" vertical="center"/>
      <protection hidden="1"/>
    </xf>
    <xf numFmtId="0" fontId="34" fillId="6" borderId="0" xfId="2" applyFont="1" applyFill="1" applyBorder="1" applyAlignment="1" applyProtection="1">
      <alignment horizontal="center" vertical="center" wrapText="1"/>
      <protection hidden="1"/>
    </xf>
    <xf numFmtId="0" fontId="34" fillId="6" borderId="0" xfId="2" applyFont="1" applyFill="1" applyBorder="1" applyAlignment="1" applyProtection="1">
      <alignment horizontal="left" vertical="center"/>
      <protection hidden="1"/>
    </xf>
    <xf numFmtId="0" fontId="17" fillId="6" borderId="0" xfId="2" applyFill="1"/>
    <xf numFmtId="0" fontId="17" fillId="6" borderId="0" xfId="2" applyFont="1" applyFill="1" applyBorder="1" applyProtection="1">
      <protection hidden="1"/>
    </xf>
    <xf numFmtId="0" fontId="17" fillId="6" borderId="0" xfId="2" applyFont="1" applyFill="1" applyBorder="1" applyAlignment="1" applyProtection="1">
      <alignment vertical="center"/>
      <protection hidden="1"/>
    </xf>
    <xf numFmtId="2" fontId="4" fillId="2" borderId="1" xfId="2" applyNumberFormat="1" applyFont="1" applyFill="1" applyBorder="1" applyAlignment="1" applyProtection="1">
      <alignment horizontal="center" vertical="center" wrapText="1"/>
      <protection locked="0" hidden="1"/>
    </xf>
    <xf numFmtId="2" fontId="4" fillId="2" borderId="39" xfId="2" applyNumberFormat="1" applyFont="1" applyFill="1" applyBorder="1" applyAlignment="1" applyProtection="1">
      <alignment horizontal="center" vertical="center" wrapText="1"/>
      <protection locked="0" hidden="1"/>
    </xf>
    <xf numFmtId="0" fontId="17" fillId="6" borderId="0" xfId="2" applyFill="1" applyAlignment="1" applyProtection="1">
      <alignment horizontal="left" vertical="center"/>
      <protection hidden="1"/>
    </xf>
    <xf numFmtId="2" fontId="4" fillId="2" borderId="35" xfId="2" applyNumberFormat="1" applyFont="1" applyFill="1" applyBorder="1" applyAlignment="1" applyProtection="1">
      <alignment horizontal="center" vertical="center" wrapText="1"/>
      <protection locked="0" hidden="1"/>
    </xf>
    <xf numFmtId="0" fontId="24" fillId="6" borderId="0" xfId="2" applyFont="1" applyFill="1" applyBorder="1" applyProtection="1">
      <protection hidden="1"/>
    </xf>
    <xf numFmtId="0" fontId="7" fillId="6" borderId="0" xfId="2" applyFont="1" applyFill="1" applyBorder="1" applyProtection="1">
      <protection hidden="1"/>
    </xf>
    <xf numFmtId="0" fontId="17" fillId="4" borderId="20" xfId="2" applyFill="1" applyBorder="1" applyAlignment="1" applyProtection="1">
      <alignment horizontal="center" vertical="center" wrapText="1"/>
      <protection hidden="1"/>
    </xf>
    <xf numFmtId="0" fontId="19" fillId="6" borderId="0" xfId="2" applyFont="1" applyFill="1" applyBorder="1" applyAlignment="1" applyProtection="1">
      <alignment horizontal="left" vertical="center"/>
      <protection hidden="1"/>
    </xf>
    <xf numFmtId="0" fontId="2" fillId="4" borderId="0" xfId="2" applyFont="1" applyFill="1" applyBorder="1" applyAlignment="1" applyProtection="1">
      <alignment horizontal="left" vertical="center" wrapText="1"/>
      <protection hidden="1"/>
    </xf>
    <xf numFmtId="0" fontId="17" fillId="5" borderId="0" xfId="2" applyFill="1" applyBorder="1" applyProtection="1">
      <protection hidden="1"/>
    </xf>
    <xf numFmtId="164" fontId="4" fillId="2" borderId="39" xfId="2" applyNumberFormat="1" applyFont="1" applyFill="1" applyBorder="1" applyAlignment="1" applyProtection="1">
      <alignment horizontal="center" vertical="center" wrapText="1"/>
      <protection locked="0" hidden="1"/>
    </xf>
    <xf numFmtId="0" fontId="2" fillId="6" borderId="0" xfId="2" applyFont="1" applyFill="1" applyBorder="1" applyAlignment="1" applyProtection="1">
      <alignment horizontal="center" vertical="center" wrapText="1"/>
      <protection hidden="1"/>
    </xf>
    <xf numFmtId="0" fontId="2" fillId="6" borderId="0" xfId="2" applyFont="1" applyFill="1" applyBorder="1" applyAlignment="1" applyProtection="1">
      <alignment vertical="center" wrapText="1"/>
      <protection hidden="1"/>
    </xf>
    <xf numFmtId="0" fontId="34" fillId="6" borderId="0" xfId="2" applyFont="1" applyFill="1" applyBorder="1" applyAlignment="1" applyProtection="1">
      <alignment horizontal="left" vertical="center" wrapText="1" indent="1"/>
      <protection hidden="1"/>
    </xf>
    <xf numFmtId="0" fontId="20" fillId="6" borderId="0" xfId="2" applyFont="1" applyFill="1" applyAlignment="1" applyProtection="1">
      <alignment horizontal="center" vertical="top"/>
      <protection hidden="1"/>
    </xf>
    <xf numFmtId="0" fontId="17" fillId="6" borderId="0" xfId="2" applyFill="1" applyBorder="1" applyAlignment="1" applyProtection="1">
      <alignment vertical="top"/>
      <protection hidden="1"/>
    </xf>
    <xf numFmtId="164" fontId="18" fillId="6" borderId="0" xfId="2" applyNumberFormat="1" applyFont="1" applyFill="1" applyBorder="1" applyAlignment="1" applyProtection="1">
      <alignment horizontal="center" vertical="center"/>
      <protection hidden="1"/>
    </xf>
    <xf numFmtId="0" fontId="41" fillId="6" borderId="0" xfId="2" applyFont="1" applyFill="1" applyBorder="1" applyAlignment="1" applyProtection="1">
      <alignment horizontal="left" vertical="center"/>
      <protection hidden="1"/>
    </xf>
    <xf numFmtId="2" fontId="35" fillId="6" borderId="0" xfId="2" applyNumberFormat="1" applyFont="1" applyFill="1" applyBorder="1" applyAlignment="1" applyProtection="1">
      <alignment horizontal="right" vertical="center"/>
      <protection hidden="1"/>
    </xf>
    <xf numFmtId="0" fontId="8" fillId="6" borderId="0" xfId="2" applyFont="1" applyFill="1" applyBorder="1" applyAlignment="1" applyProtection="1">
      <alignment horizontal="left" vertical="center" wrapText="1"/>
      <protection hidden="1"/>
    </xf>
    <xf numFmtId="164" fontId="3" fillId="6" borderId="0" xfId="2" applyNumberFormat="1" applyFont="1" applyFill="1" applyBorder="1" applyAlignment="1" applyProtection="1">
      <alignment horizontal="center" vertical="center" wrapText="1"/>
      <protection hidden="1"/>
    </xf>
    <xf numFmtId="164" fontId="8" fillId="6" borderId="0" xfId="2" applyNumberFormat="1" applyFont="1" applyFill="1" applyBorder="1" applyAlignment="1" applyProtection="1">
      <alignment horizontal="right" vertical="center" wrapText="1"/>
      <protection hidden="1"/>
    </xf>
    <xf numFmtId="164" fontId="8" fillId="6" borderId="0" xfId="2" applyNumberFormat="1" applyFont="1" applyFill="1" applyBorder="1" applyAlignment="1" applyProtection="1">
      <alignment horizontal="left" vertical="center" wrapText="1"/>
      <protection hidden="1"/>
    </xf>
    <xf numFmtId="0" fontId="61" fillId="6" borderId="0" xfId="2" applyFont="1" applyFill="1" applyBorder="1" applyAlignment="1" applyProtection="1">
      <alignment horizontal="left" vertical="center"/>
      <protection hidden="1"/>
    </xf>
    <xf numFmtId="0" fontId="34" fillId="6" borderId="0" xfId="2" applyFont="1" applyFill="1" applyBorder="1" applyAlignment="1" applyProtection="1">
      <alignment horizontal="center" vertical="center"/>
      <protection hidden="1"/>
    </xf>
    <xf numFmtId="0" fontId="2" fillId="6" borderId="0" xfId="2" applyFont="1" applyFill="1" applyBorder="1" applyAlignment="1" applyProtection="1">
      <alignment horizontal="left" vertical="center"/>
      <protection hidden="1"/>
    </xf>
    <xf numFmtId="0" fontId="70" fillId="6" borderId="0" xfId="2" applyFont="1" applyFill="1" applyBorder="1" applyAlignment="1" applyProtection="1">
      <alignment horizontal="center" vertical="center"/>
      <protection hidden="1"/>
    </xf>
    <xf numFmtId="0" fontId="17" fillId="6" borderId="0" xfId="2" applyFill="1" applyBorder="1" applyAlignment="1" applyProtection="1">
      <protection hidden="1"/>
    </xf>
    <xf numFmtId="0" fontId="72" fillId="6" borderId="0" xfId="0" applyFont="1" applyFill="1" applyAlignment="1">
      <alignment horizontal="left" vertical="center"/>
    </xf>
    <xf numFmtId="0" fontId="72" fillId="6" borderId="0" xfId="0" applyFont="1" applyFill="1"/>
    <xf numFmtId="0" fontId="68" fillId="6" borderId="0" xfId="0" applyFont="1" applyFill="1"/>
    <xf numFmtId="0" fontId="2" fillId="6" borderId="13" xfId="0" applyFont="1" applyFill="1" applyBorder="1" applyAlignment="1" applyProtection="1">
      <alignment horizontal="left" vertical="center" wrapText="1" indent="4"/>
      <protection hidden="1"/>
    </xf>
    <xf numFmtId="0" fontId="2" fillId="6" borderId="14" xfId="0" applyFont="1" applyFill="1" applyBorder="1" applyAlignment="1" applyProtection="1">
      <alignment horizontal="left" vertical="center" wrapText="1" indent="4"/>
      <protection hidden="1"/>
    </xf>
    <xf numFmtId="0" fontId="2" fillId="6" borderId="0" xfId="2" applyFont="1" applyFill="1" applyBorder="1" applyProtection="1">
      <protection hidden="1"/>
    </xf>
    <xf numFmtId="0" fontId="4" fillId="6" borderId="0" xfId="2" applyFont="1" applyFill="1" applyBorder="1" applyAlignment="1" applyProtection="1">
      <alignment horizontal="center" vertical="center" wrapText="1"/>
      <protection hidden="1"/>
    </xf>
    <xf numFmtId="0" fontId="2" fillId="6" borderId="0" xfId="2" applyFont="1" applyFill="1" applyBorder="1"/>
    <xf numFmtId="166" fontId="2" fillId="6" borderId="0" xfId="2" applyNumberFormat="1" applyFont="1" applyFill="1" applyBorder="1" applyAlignment="1" applyProtection="1">
      <alignment horizontal="center" vertical="center" wrapText="1"/>
      <protection hidden="1"/>
    </xf>
    <xf numFmtId="2" fontId="2" fillId="6" borderId="0" xfId="2" applyNumberFormat="1" applyFont="1" applyFill="1" applyBorder="1" applyAlignment="1" applyProtection="1">
      <alignment horizontal="center" vertical="center" wrapText="1"/>
      <protection hidden="1"/>
    </xf>
    <xf numFmtId="164" fontId="2" fillId="6" borderId="0" xfId="2" applyNumberFormat="1" applyFont="1" applyFill="1" applyBorder="1" applyAlignment="1" applyProtection="1">
      <alignment horizontal="center" vertical="center" wrapText="1"/>
      <protection hidden="1"/>
    </xf>
    <xf numFmtId="164" fontId="2" fillId="4" borderId="17" xfId="2" applyNumberFormat="1" applyFont="1" applyFill="1" applyBorder="1" applyAlignment="1" applyProtection="1">
      <alignment horizontal="center" vertical="center" wrapText="1"/>
      <protection hidden="1"/>
    </xf>
    <xf numFmtId="164" fontId="2" fillId="4" borderId="9" xfId="2" applyNumberFormat="1" applyFont="1" applyFill="1" applyBorder="1" applyAlignment="1" applyProtection="1">
      <alignment horizontal="center" vertical="center" wrapText="1"/>
      <protection hidden="1"/>
    </xf>
    <xf numFmtId="0" fontId="2" fillId="6" borderId="0" xfId="0" applyFont="1" applyFill="1" applyBorder="1" applyAlignment="1">
      <alignment horizontal="center" vertical="center" wrapText="1"/>
    </xf>
    <xf numFmtId="2" fontId="4" fillId="2" borderId="2" xfId="0" applyNumberFormat="1" applyFont="1" applyFill="1" applyBorder="1" applyAlignment="1" applyProtection="1">
      <alignment horizontal="center" vertical="center" wrapText="1"/>
      <protection locked="0" hidden="1"/>
    </xf>
    <xf numFmtId="164" fontId="4" fillId="6" borderId="0" xfId="2" applyNumberFormat="1" applyFont="1" applyFill="1" applyBorder="1" applyAlignment="1" applyProtection="1">
      <alignment horizontal="center" vertical="center" wrapText="1"/>
      <protection hidden="1"/>
    </xf>
    <xf numFmtId="164" fontId="2" fillId="4" borderId="34" xfId="2" applyNumberFormat="1" applyFont="1" applyFill="1" applyBorder="1" applyAlignment="1" applyProtection="1">
      <alignment horizontal="center" vertical="center" wrapText="1"/>
      <protection hidden="1"/>
    </xf>
    <xf numFmtId="164" fontId="2" fillId="4" borderId="26" xfId="2" applyNumberFormat="1" applyFont="1" applyFill="1" applyBorder="1" applyAlignment="1" applyProtection="1">
      <alignment horizontal="center" vertical="center" wrapText="1"/>
      <protection hidden="1"/>
    </xf>
    <xf numFmtId="164" fontId="2" fillId="4" borderId="36" xfId="2" applyNumberFormat="1" applyFont="1" applyFill="1" applyBorder="1" applyAlignment="1" applyProtection="1">
      <alignment horizontal="center" vertical="center" wrapText="1"/>
      <protection hidden="1"/>
    </xf>
    <xf numFmtId="164" fontId="2" fillId="4" borderId="34" xfId="2" applyNumberFormat="1" applyFont="1" applyFill="1" applyBorder="1" applyAlignment="1" applyProtection="1">
      <alignment vertical="center"/>
      <protection hidden="1"/>
    </xf>
    <xf numFmtId="164" fontId="2" fillId="6" borderId="26" xfId="2" applyNumberFormat="1" applyFont="1" applyFill="1" applyBorder="1" applyAlignment="1" applyProtection="1">
      <alignment horizontal="left" vertical="center"/>
      <protection hidden="1"/>
    </xf>
    <xf numFmtId="164" fontId="2" fillId="4" borderId="36" xfId="2" applyNumberFormat="1" applyFont="1" applyFill="1" applyBorder="1" applyAlignment="1" applyProtection="1">
      <alignment horizontal="left" vertical="center"/>
      <protection hidden="1"/>
    </xf>
    <xf numFmtId="164" fontId="2" fillId="4" borderId="34" xfId="2" applyNumberFormat="1" applyFont="1" applyFill="1" applyBorder="1" applyAlignment="1" applyProtection="1">
      <alignment horizontal="left" vertical="center"/>
      <protection hidden="1"/>
    </xf>
    <xf numFmtId="164" fontId="4" fillId="6" borderId="37" xfId="2" applyNumberFormat="1" applyFont="1" applyFill="1" applyBorder="1" applyAlignment="1" applyProtection="1">
      <alignment horizontal="center" vertical="center" wrapText="1"/>
      <protection hidden="1"/>
    </xf>
    <xf numFmtId="164" fontId="4" fillId="6" borderId="38" xfId="2" applyNumberFormat="1" applyFont="1" applyFill="1" applyBorder="1" applyAlignment="1" applyProtection="1">
      <alignment horizontal="center" vertical="center" wrapText="1"/>
      <protection hidden="1"/>
    </xf>
    <xf numFmtId="164" fontId="4" fillId="6" borderId="27" xfId="2" applyNumberFormat="1" applyFont="1" applyFill="1" applyBorder="1" applyAlignment="1" applyProtection="1">
      <alignment horizontal="center" vertical="center" wrapText="1"/>
      <protection hidden="1"/>
    </xf>
    <xf numFmtId="164" fontId="4" fillId="6" borderId="29" xfId="2" applyNumberFormat="1" applyFont="1" applyFill="1" applyBorder="1" applyAlignment="1" applyProtection="1">
      <alignment horizontal="center" vertical="center" wrapText="1"/>
      <protection hidden="1"/>
    </xf>
    <xf numFmtId="0" fontId="0" fillId="6" borderId="0" xfId="0" applyFont="1" applyFill="1" applyProtection="1">
      <protection hidden="1"/>
    </xf>
    <xf numFmtId="0" fontId="17" fillId="6" borderId="20" xfId="2" applyFill="1" applyBorder="1" applyAlignment="1" applyProtection="1">
      <alignment horizontal="center" vertical="center"/>
      <protection hidden="1"/>
    </xf>
    <xf numFmtId="0" fontId="70" fillId="8" borderId="125" xfId="2" applyFont="1" applyFill="1" applyBorder="1" applyAlignment="1" applyProtection="1">
      <alignment horizontal="left" vertical="center"/>
      <protection hidden="1"/>
    </xf>
    <xf numFmtId="0" fontId="70" fillId="8" borderId="127" xfId="2" applyFont="1" applyFill="1" applyBorder="1" applyAlignment="1" applyProtection="1">
      <alignment horizontal="left" vertical="center"/>
      <protection hidden="1"/>
    </xf>
    <xf numFmtId="0" fontId="70" fillId="8" borderId="127" xfId="2" applyFont="1" applyFill="1" applyBorder="1" applyAlignment="1" applyProtection="1">
      <alignment horizontal="center" vertical="center"/>
      <protection hidden="1"/>
    </xf>
    <xf numFmtId="2" fontId="18" fillId="6" borderId="13" xfId="2" applyNumberFormat="1" applyFont="1" applyFill="1" applyBorder="1" applyAlignment="1" applyProtection="1">
      <alignment horizontal="center" vertical="center"/>
      <protection hidden="1"/>
    </xf>
    <xf numFmtId="2" fontId="18" fillId="6" borderId="14" xfId="2" applyNumberFormat="1" applyFont="1" applyFill="1" applyBorder="1" applyAlignment="1" applyProtection="1">
      <alignment horizontal="center" vertical="center"/>
      <protection hidden="1"/>
    </xf>
    <xf numFmtId="164" fontId="18" fillId="6" borderId="13" xfId="2" applyNumberFormat="1" applyFont="1" applyFill="1" applyBorder="1" applyAlignment="1" applyProtection="1">
      <alignment horizontal="center" vertical="center"/>
      <protection hidden="1"/>
    </xf>
    <xf numFmtId="164" fontId="18" fillId="6" borderId="14" xfId="2" applyNumberFormat="1" applyFont="1" applyFill="1" applyBorder="1" applyAlignment="1" applyProtection="1">
      <alignment horizontal="center" vertical="center"/>
      <protection hidden="1"/>
    </xf>
    <xf numFmtId="164" fontId="18" fillId="6" borderId="26" xfId="2" applyNumberFormat="1" applyFont="1" applyFill="1" applyBorder="1" applyAlignment="1" applyProtection="1">
      <alignment horizontal="center" vertical="center"/>
      <protection hidden="1"/>
    </xf>
    <xf numFmtId="0" fontId="58" fillId="6" borderId="0" xfId="0" applyFont="1" applyFill="1"/>
    <xf numFmtId="0" fontId="73" fillId="6" borderId="0" xfId="0" applyFont="1" applyFill="1" applyProtection="1">
      <protection hidden="1"/>
    </xf>
    <xf numFmtId="0" fontId="34" fillId="6" borderId="13" xfId="2" applyFont="1" applyFill="1" applyBorder="1" applyAlignment="1" applyProtection="1">
      <alignment horizontal="right" vertical="center"/>
      <protection hidden="1"/>
    </xf>
    <xf numFmtId="0" fontId="34" fillId="6" borderId="14" xfId="2" applyFont="1" applyFill="1" applyBorder="1" applyAlignment="1" applyProtection="1">
      <alignment horizontal="right" vertical="center"/>
      <protection hidden="1"/>
    </xf>
    <xf numFmtId="0" fontId="34" fillId="6" borderId="26" xfId="2" applyFont="1" applyFill="1" applyBorder="1" applyAlignment="1" applyProtection="1">
      <alignment horizontal="right" vertical="center"/>
      <protection hidden="1"/>
    </xf>
    <xf numFmtId="0" fontId="17" fillId="6" borderId="20" xfId="2" applyFill="1" applyBorder="1" applyAlignment="1" applyProtection="1">
      <alignment horizontal="center" vertical="center"/>
      <protection hidden="1"/>
    </xf>
    <xf numFmtId="0" fontId="19" fillId="6" borderId="0" xfId="0" applyFont="1" applyFill="1" applyBorder="1" applyAlignment="1" applyProtection="1">
      <alignment horizontal="left" vertical="center" indent="5"/>
      <protection hidden="1"/>
    </xf>
    <xf numFmtId="0" fontId="2" fillId="6" borderId="12" xfId="0" applyFont="1" applyFill="1" applyBorder="1" applyAlignment="1">
      <alignment vertical="center" wrapText="1"/>
    </xf>
    <xf numFmtId="164" fontId="2" fillId="4" borderId="0" xfId="2" applyNumberFormat="1" applyFont="1" applyFill="1" applyBorder="1" applyAlignment="1" applyProtection="1">
      <alignment horizontal="center" vertical="center"/>
      <protection hidden="1"/>
    </xf>
    <xf numFmtId="0" fontId="66" fillId="6" borderId="0" xfId="0" applyFont="1" applyFill="1" applyBorder="1" applyAlignment="1" applyProtection="1">
      <alignment horizontal="left"/>
      <protection hidden="1"/>
    </xf>
    <xf numFmtId="2" fontId="4" fillId="6" borderId="0" xfId="0" applyNumberFormat="1" applyFont="1" applyFill="1" applyBorder="1" applyAlignment="1" applyProtection="1">
      <alignment horizontal="center" vertical="center" wrapText="1"/>
      <protection hidden="1"/>
    </xf>
    <xf numFmtId="164" fontId="59" fillId="6" borderId="0" xfId="0" applyNumberFormat="1" applyFont="1" applyFill="1" applyProtection="1">
      <protection hidden="1"/>
    </xf>
    <xf numFmtId="0" fontId="59" fillId="6" borderId="0" xfId="0" applyFont="1" applyFill="1" applyAlignment="1" applyProtection="1">
      <alignment horizontal="left" vertical="center"/>
      <protection hidden="1"/>
    </xf>
    <xf numFmtId="0" fontId="62" fillId="6" borderId="43" xfId="0" applyFont="1" applyFill="1" applyBorder="1" applyAlignment="1" applyProtection="1">
      <alignment horizontal="center" vertical="center" wrapText="1"/>
      <protection locked="0" hidden="1"/>
    </xf>
    <xf numFmtId="0" fontId="62" fillId="6" borderId="44" xfId="0" applyFont="1" applyFill="1" applyBorder="1" applyAlignment="1" applyProtection="1">
      <alignment horizontal="center" vertical="center" wrapText="1"/>
      <protection locked="0" hidden="1"/>
    </xf>
    <xf numFmtId="164" fontId="59" fillId="6" borderId="45" xfId="0" applyNumberFormat="1" applyFont="1" applyFill="1" applyBorder="1" applyAlignment="1" applyProtection="1">
      <alignment horizontal="center" vertical="center" wrapText="1"/>
      <protection locked="0" hidden="1"/>
    </xf>
    <xf numFmtId="164" fontId="59" fillId="6" borderId="46" xfId="0" applyNumberFormat="1" applyFont="1" applyFill="1" applyBorder="1" applyAlignment="1" applyProtection="1">
      <alignment horizontal="center" vertical="center" wrapText="1"/>
      <protection locked="0" hidden="1"/>
    </xf>
    <xf numFmtId="164" fontId="59" fillId="6" borderId="47" xfId="0" applyNumberFormat="1" applyFont="1" applyFill="1" applyBorder="1" applyAlignment="1" applyProtection="1">
      <alignment horizontal="center" vertical="center" wrapText="1"/>
      <protection locked="0" hidden="1"/>
    </xf>
    <xf numFmtId="164" fontId="59" fillId="6" borderId="48" xfId="0" applyNumberFormat="1" applyFont="1" applyFill="1" applyBorder="1" applyAlignment="1" applyProtection="1">
      <alignment horizontal="center" vertical="center" wrapText="1"/>
      <protection locked="0" hidden="1"/>
    </xf>
    <xf numFmtId="2" fontId="59" fillId="6" borderId="47" xfId="0" applyNumberFormat="1" applyFont="1" applyFill="1" applyBorder="1" applyAlignment="1" applyProtection="1">
      <alignment horizontal="center" vertical="center" wrapText="1"/>
      <protection locked="0" hidden="1"/>
    </xf>
    <xf numFmtId="2" fontId="59" fillId="6" borderId="48" xfId="0" applyNumberFormat="1" applyFont="1" applyFill="1" applyBorder="1" applyAlignment="1" applyProtection="1">
      <alignment horizontal="center" vertical="center" wrapText="1"/>
      <protection locked="0" hidden="1"/>
    </xf>
    <xf numFmtId="2" fontId="59" fillId="6" borderId="49" xfId="0" applyNumberFormat="1" applyFont="1" applyFill="1" applyBorder="1" applyAlignment="1" applyProtection="1">
      <alignment horizontal="center" vertical="center" wrapText="1"/>
      <protection locked="0" hidden="1"/>
    </xf>
    <xf numFmtId="2" fontId="59" fillId="6" borderId="50" xfId="0" applyNumberFormat="1" applyFont="1" applyFill="1" applyBorder="1" applyAlignment="1" applyProtection="1">
      <alignment horizontal="center" vertical="center" wrapText="1"/>
      <protection locked="0" hidden="1"/>
    </xf>
    <xf numFmtId="164" fontId="59" fillId="6" borderId="49" xfId="0" applyNumberFormat="1" applyFont="1" applyFill="1" applyBorder="1" applyAlignment="1" applyProtection="1">
      <alignment horizontal="center" vertical="center" wrapText="1"/>
      <protection locked="0" hidden="1"/>
    </xf>
    <xf numFmtId="164" fontId="59" fillId="6" borderId="50" xfId="0" applyNumberFormat="1" applyFont="1" applyFill="1" applyBorder="1" applyAlignment="1" applyProtection="1">
      <alignment horizontal="center" vertical="center" wrapText="1"/>
      <protection locked="0" hidden="1"/>
    </xf>
    <xf numFmtId="0" fontId="74" fillId="6" borderId="51" xfId="0" applyFont="1" applyFill="1" applyBorder="1" applyAlignment="1" applyProtection="1">
      <alignment vertical="center"/>
      <protection locked="0" hidden="1"/>
    </xf>
    <xf numFmtId="0" fontId="62" fillId="6" borderId="52" xfId="0" applyFont="1" applyFill="1" applyBorder="1" applyAlignment="1" applyProtection="1">
      <alignment horizontal="center"/>
      <protection locked="0" hidden="1"/>
    </xf>
    <xf numFmtId="0" fontId="74" fillId="6" borderId="46" xfId="0" applyFont="1" applyFill="1" applyBorder="1" applyAlignment="1" applyProtection="1">
      <alignment horizontal="right" vertical="center"/>
      <protection locked="0" hidden="1"/>
    </xf>
    <xf numFmtId="0" fontId="59" fillId="6" borderId="0" xfId="0" applyFont="1" applyFill="1" applyProtection="1">
      <protection locked="0" hidden="1"/>
    </xf>
    <xf numFmtId="0" fontId="69" fillId="6" borderId="0" xfId="0" applyFont="1" applyFill="1" applyAlignment="1" applyProtection="1">
      <alignment horizontal="left" vertical="center"/>
      <protection hidden="1"/>
    </xf>
    <xf numFmtId="164" fontId="0" fillId="6" borderId="0" xfId="0" applyNumberFormat="1" applyFill="1" applyProtection="1">
      <protection hidden="1"/>
    </xf>
    <xf numFmtId="0" fontId="68" fillId="6" borderId="0" xfId="0" applyFont="1" applyFill="1" applyAlignment="1" applyProtection="1">
      <alignment horizontal="right" vertical="center"/>
      <protection hidden="1"/>
    </xf>
    <xf numFmtId="164" fontId="62" fillId="6" borderId="0" xfId="0" applyNumberFormat="1" applyFont="1" applyFill="1" applyBorder="1" applyAlignment="1" applyProtection="1">
      <alignment horizontal="center" vertical="center"/>
      <protection hidden="1"/>
    </xf>
    <xf numFmtId="0" fontId="59" fillId="6" borderId="0" xfId="0" applyFont="1" applyFill="1" applyAlignment="1" applyProtection="1">
      <alignment horizontal="center" vertical="center"/>
      <protection hidden="1"/>
    </xf>
    <xf numFmtId="0" fontId="0" fillId="6" borderId="17" xfId="0" applyFill="1" applyBorder="1" applyAlignment="1" applyProtection="1">
      <alignment horizontal="left" vertical="center"/>
      <protection hidden="1"/>
    </xf>
    <xf numFmtId="2" fontId="59" fillId="6" borderId="17" xfId="0" applyNumberFormat="1" applyFont="1" applyFill="1" applyBorder="1" applyAlignment="1" applyProtection="1">
      <alignment horizontal="center" vertical="center"/>
      <protection hidden="1"/>
    </xf>
    <xf numFmtId="0" fontId="59" fillId="6" borderId="17" xfId="0" applyFont="1" applyFill="1" applyBorder="1" applyAlignment="1" applyProtection="1">
      <alignment horizontal="center" vertical="center"/>
      <protection hidden="1"/>
    </xf>
    <xf numFmtId="0" fontId="0" fillId="6" borderId="17" xfId="0" applyFill="1" applyBorder="1" applyProtection="1">
      <protection hidden="1"/>
    </xf>
    <xf numFmtId="0" fontId="59" fillId="6" borderId="17" xfId="0" applyFont="1" applyFill="1" applyBorder="1" applyAlignment="1" applyProtection="1">
      <alignment horizontal="center"/>
      <protection hidden="1"/>
    </xf>
    <xf numFmtId="0" fontId="59" fillId="6" borderId="27" xfId="0" applyFont="1" applyFill="1" applyBorder="1" applyAlignment="1" applyProtection="1">
      <alignment horizontal="left" vertical="center"/>
      <protection hidden="1"/>
    </xf>
    <xf numFmtId="164" fontId="4" fillId="6" borderId="53" xfId="0" applyNumberFormat="1" applyFont="1" applyFill="1" applyBorder="1" applyAlignment="1" applyProtection="1">
      <alignment horizontal="center" vertical="center" wrapText="1"/>
      <protection hidden="1"/>
    </xf>
    <xf numFmtId="164" fontId="4" fillId="6" borderId="54" xfId="0" applyNumberFormat="1" applyFont="1" applyFill="1" applyBorder="1" applyAlignment="1" applyProtection="1">
      <alignment horizontal="center" vertical="center" wrapText="1"/>
      <protection hidden="1"/>
    </xf>
    <xf numFmtId="0" fontId="59" fillId="6" borderId="29" xfId="0" applyFont="1" applyFill="1" applyBorder="1" applyAlignment="1" applyProtection="1">
      <alignment horizontal="left" vertical="center"/>
      <protection hidden="1"/>
    </xf>
    <xf numFmtId="1" fontId="4" fillId="6" borderId="53" xfId="0" applyNumberFormat="1" applyFont="1" applyFill="1" applyBorder="1" applyAlignment="1" applyProtection="1">
      <alignment horizontal="center" vertical="center" wrapText="1"/>
      <protection hidden="1"/>
    </xf>
    <xf numFmtId="0" fontId="59" fillId="6" borderId="24" xfId="0" applyNumberFormat="1" applyFont="1" applyFill="1" applyBorder="1" applyAlignment="1" applyProtection="1">
      <alignment horizontal="center" vertical="center"/>
      <protection hidden="1"/>
    </xf>
    <xf numFmtId="0" fontId="59" fillId="6" borderId="31" xfId="0" applyFont="1" applyFill="1" applyBorder="1" applyAlignment="1" applyProtection="1">
      <alignment horizontal="left" vertical="center"/>
      <protection hidden="1"/>
    </xf>
    <xf numFmtId="164" fontId="59" fillId="6" borderId="32" xfId="0" applyNumberFormat="1" applyFont="1" applyFill="1" applyBorder="1" applyAlignment="1" applyProtection="1">
      <alignment horizontal="center" vertical="center"/>
      <protection hidden="1"/>
    </xf>
    <xf numFmtId="164" fontId="59" fillId="6" borderId="33" xfId="0" applyNumberFormat="1" applyFont="1" applyFill="1" applyBorder="1" applyAlignment="1" applyProtection="1">
      <alignment horizontal="center" vertical="center"/>
      <protection hidden="1"/>
    </xf>
    <xf numFmtId="164" fontId="4" fillId="6" borderId="55" xfId="0" applyNumberFormat="1" applyFont="1" applyFill="1" applyBorder="1" applyAlignment="1" applyProtection="1">
      <alignment horizontal="center" vertical="center" wrapText="1"/>
      <protection hidden="1"/>
    </xf>
    <xf numFmtId="1" fontId="4" fillId="6" borderId="55" xfId="0" applyNumberFormat="1" applyFont="1" applyFill="1" applyBorder="1" applyAlignment="1" applyProtection="1">
      <alignment horizontal="center" vertical="center" wrapText="1"/>
      <protection hidden="1"/>
    </xf>
    <xf numFmtId="164" fontId="59" fillId="6" borderId="24" xfId="0" applyNumberFormat="1" applyFont="1" applyFill="1" applyBorder="1" applyAlignment="1" applyProtection="1">
      <alignment horizontal="center" vertical="center"/>
      <protection hidden="1"/>
    </xf>
    <xf numFmtId="0" fontId="59" fillId="6" borderId="15" xfId="0" applyNumberFormat="1" applyFont="1" applyFill="1" applyBorder="1" applyAlignment="1" applyProtection="1">
      <alignment horizontal="center" vertical="center"/>
      <protection hidden="1"/>
    </xf>
    <xf numFmtId="0" fontId="59" fillId="6" borderId="29" xfId="0" applyFont="1" applyFill="1" applyBorder="1" applyProtection="1">
      <protection hidden="1"/>
    </xf>
    <xf numFmtId="2" fontId="4" fillId="6" borderId="55" xfId="0" applyNumberFormat="1" applyFont="1" applyFill="1" applyBorder="1" applyAlignment="1" applyProtection="1">
      <alignment horizontal="center" vertical="center" wrapText="1"/>
      <protection hidden="1"/>
    </xf>
    <xf numFmtId="2" fontId="4" fillId="6" borderId="54" xfId="0" applyNumberFormat="1" applyFont="1" applyFill="1" applyBorder="1" applyAlignment="1" applyProtection="1">
      <alignment horizontal="center" vertical="center" wrapText="1"/>
      <protection hidden="1"/>
    </xf>
    <xf numFmtId="2" fontId="59" fillId="6" borderId="24" xfId="0" applyNumberFormat="1" applyFont="1" applyFill="1" applyBorder="1" applyAlignment="1" applyProtection="1">
      <alignment horizontal="center" vertical="center"/>
      <protection hidden="1"/>
    </xf>
    <xf numFmtId="0" fontId="59" fillId="6" borderId="15" xfId="0" applyFont="1" applyFill="1" applyBorder="1" applyProtection="1">
      <protection hidden="1"/>
    </xf>
    <xf numFmtId="0" fontId="59" fillId="6" borderId="24" xfId="0" applyFont="1" applyFill="1" applyBorder="1" applyProtection="1">
      <protection hidden="1"/>
    </xf>
    <xf numFmtId="164" fontId="59" fillId="6" borderId="30" xfId="0" applyNumberFormat="1" applyFont="1" applyFill="1" applyBorder="1" applyAlignment="1" applyProtection="1">
      <alignment horizontal="center" vertical="center"/>
      <protection hidden="1"/>
    </xf>
    <xf numFmtId="164" fontId="59" fillId="6" borderId="56" xfId="0" applyNumberFormat="1" applyFont="1" applyFill="1" applyBorder="1" applyAlignment="1" applyProtection="1">
      <alignment horizontal="center" vertical="center"/>
      <protection hidden="1"/>
    </xf>
    <xf numFmtId="164" fontId="59" fillId="6" borderId="57" xfId="0" applyNumberFormat="1" applyFont="1" applyFill="1" applyBorder="1" applyAlignment="1" applyProtection="1">
      <alignment horizontal="center" vertical="center"/>
      <protection hidden="1"/>
    </xf>
    <xf numFmtId="164" fontId="59" fillId="6" borderId="58" xfId="0" applyNumberFormat="1" applyFont="1" applyFill="1" applyBorder="1" applyAlignment="1" applyProtection="1">
      <alignment horizontal="center" vertical="center"/>
      <protection hidden="1"/>
    </xf>
    <xf numFmtId="164" fontId="59" fillId="6" borderId="59" xfId="0" applyNumberFormat="1" applyFont="1" applyFill="1" applyBorder="1" applyAlignment="1" applyProtection="1">
      <alignment horizontal="center" vertical="center"/>
      <protection hidden="1"/>
    </xf>
    <xf numFmtId="164" fontId="59" fillId="6" borderId="0" xfId="0" applyNumberFormat="1" applyFont="1" applyFill="1" applyBorder="1" applyAlignment="1" applyProtection="1">
      <alignment horizontal="center" vertical="center"/>
      <protection hidden="1"/>
    </xf>
    <xf numFmtId="0" fontId="59" fillId="6" borderId="0" xfId="0" applyNumberFormat="1" applyFont="1" applyFill="1" applyProtection="1">
      <protection hidden="1"/>
    </xf>
    <xf numFmtId="164" fontId="59" fillId="6" borderId="23" xfId="0" applyNumberFormat="1" applyFont="1" applyFill="1" applyBorder="1" applyAlignment="1" applyProtection="1">
      <alignment horizontal="center" vertical="center"/>
      <protection hidden="1"/>
    </xf>
    <xf numFmtId="49" fontId="59" fillId="6" borderId="27" xfId="0" applyNumberFormat="1" applyFont="1" applyFill="1" applyBorder="1" applyAlignment="1" applyProtection="1">
      <alignment horizontal="left" vertical="center"/>
      <protection hidden="1"/>
    </xf>
    <xf numFmtId="0" fontId="0" fillId="6" borderId="0" xfId="0" applyFill="1" applyAlignment="1" applyProtection="1">
      <alignment horizontal="left" vertical="center"/>
      <protection hidden="1"/>
    </xf>
    <xf numFmtId="2" fontId="59" fillId="6" borderId="30" xfId="0" applyNumberFormat="1" applyFont="1" applyFill="1" applyBorder="1" applyAlignment="1" applyProtection="1">
      <alignment horizontal="center" vertical="center"/>
      <protection hidden="1"/>
    </xf>
    <xf numFmtId="2" fontId="59" fillId="6" borderId="0" xfId="0" applyNumberFormat="1" applyFont="1" applyFill="1" applyBorder="1" applyAlignment="1" applyProtection="1">
      <alignment horizontal="center" vertical="center"/>
      <protection hidden="1"/>
    </xf>
    <xf numFmtId="0" fontId="74" fillId="6" borderId="51" xfId="0" applyFont="1" applyFill="1" applyBorder="1" applyAlignment="1" applyProtection="1">
      <alignment horizontal="right" vertical="center"/>
      <protection locked="0" hidden="1"/>
    </xf>
    <xf numFmtId="0" fontId="62" fillId="6" borderId="60" xfId="0" applyFont="1" applyFill="1" applyBorder="1" applyAlignment="1" applyProtection="1">
      <alignment horizontal="left" vertical="center"/>
      <protection locked="0" hidden="1"/>
    </xf>
    <xf numFmtId="0" fontId="62" fillId="6" borderId="61" xfId="0" applyFont="1" applyFill="1" applyBorder="1" applyAlignment="1" applyProtection="1">
      <alignment horizontal="left" vertical="center"/>
      <protection locked="0" hidden="1"/>
    </xf>
    <xf numFmtId="0" fontId="6" fillId="6" borderId="0" xfId="0" applyFont="1" applyFill="1" applyAlignment="1" applyProtection="1">
      <alignment horizontal="center" vertical="center"/>
      <protection hidden="1"/>
    </xf>
    <xf numFmtId="0" fontId="0" fillId="6" borderId="0" xfId="0" applyFill="1" applyProtection="1">
      <protection locked="0" hidden="1"/>
    </xf>
    <xf numFmtId="164" fontId="59" fillId="6" borderId="62" xfId="0" applyNumberFormat="1" applyFont="1" applyFill="1" applyBorder="1" applyAlignment="1" applyProtection="1">
      <alignment horizontal="center" vertical="center"/>
      <protection hidden="1"/>
    </xf>
    <xf numFmtId="164" fontId="59" fillId="6" borderId="63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2" fontId="59" fillId="6" borderId="53" xfId="0" applyNumberFormat="1" applyFont="1" applyFill="1" applyBorder="1" applyAlignment="1" applyProtection="1">
      <alignment horizontal="center" vertical="center"/>
      <protection hidden="1"/>
    </xf>
    <xf numFmtId="0" fontId="59" fillId="6" borderId="64" xfId="0" applyFont="1" applyFill="1" applyBorder="1" applyAlignment="1" applyProtection="1">
      <alignment horizontal="center" vertical="center"/>
      <protection hidden="1"/>
    </xf>
    <xf numFmtId="2" fontId="4" fillId="6" borderId="65" xfId="0" applyNumberFormat="1" applyFont="1" applyFill="1" applyBorder="1" applyAlignment="1" applyProtection="1">
      <alignment horizontal="center" vertical="center" wrapText="1"/>
      <protection hidden="1"/>
    </xf>
    <xf numFmtId="2" fontId="4" fillId="6" borderId="66" xfId="0" applyNumberFormat="1" applyFont="1" applyFill="1" applyBorder="1" applyAlignment="1" applyProtection="1">
      <alignment horizontal="center" vertical="center" wrapText="1"/>
      <protection hidden="1"/>
    </xf>
    <xf numFmtId="164" fontId="2" fillId="6" borderId="62" xfId="0" applyNumberFormat="1" applyFont="1" applyFill="1" applyBorder="1" applyAlignment="1" applyProtection="1">
      <alignment horizontal="center" vertical="center"/>
      <protection hidden="1"/>
    </xf>
    <xf numFmtId="164" fontId="2" fillId="6" borderId="63" xfId="0" applyNumberFormat="1" applyFont="1" applyFill="1" applyBorder="1" applyAlignment="1" applyProtection="1">
      <alignment horizontal="center" vertical="center"/>
      <protection hidden="1"/>
    </xf>
    <xf numFmtId="0" fontId="61" fillId="6" borderId="0" xfId="2" applyFont="1" applyFill="1" applyAlignment="1" applyProtection="1">
      <alignment horizontal="center" vertical="center"/>
      <protection hidden="1"/>
    </xf>
    <xf numFmtId="0" fontId="61" fillId="6" borderId="0" xfId="2" applyFont="1" applyFill="1" applyAlignment="1" applyProtection="1">
      <alignment horizontal="left" vertical="center"/>
      <protection hidden="1"/>
    </xf>
    <xf numFmtId="0" fontId="72" fillId="6" borderId="0" xfId="0" applyFont="1" applyFill="1" applyAlignment="1" applyProtection="1">
      <alignment horizontal="left" vertical="center"/>
      <protection hidden="1"/>
    </xf>
    <xf numFmtId="0" fontId="2" fillId="6" borderId="19" xfId="0" applyFont="1" applyFill="1" applyBorder="1" applyAlignment="1" applyProtection="1">
      <alignment horizontal="center" vertical="center" wrapText="1"/>
      <protection locked="0" hidden="1"/>
    </xf>
    <xf numFmtId="0" fontId="2" fillId="6" borderId="67" xfId="0" applyFont="1" applyFill="1" applyBorder="1" applyAlignment="1" applyProtection="1">
      <alignment horizontal="center" vertical="center" wrapText="1"/>
      <protection locked="0" hidden="1"/>
    </xf>
    <xf numFmtId="0" fontId="2" fillId="6" borderId="68" xfId="0" applyFont="1" applyFill="1" applyBorder="1" applyAlignment="1" applyProtection="1">
      <alignment horizontal="center" vertical="center" wrapText="1"/>
      <protection locked="0" hidden="1"/>
    </xf>
    <xf numFmtId="0" fontId="2" fillId="6" borderId="69" xfId="0" applyFont="1" applyFill="1" applyBorder="1" applyAlignment="1" applyProtection="1">
      <alignment horizontal="center" vertical="center" wrapText="1"/>
      <protection locked="0" hidden="1"/>
    </xf>
    <xf numFmtId="0" fontId="2" fillId="6" borderId="70" xfId="0" applyFont="1" applyFill="1" applyBorder="1" applyAlignment="1" applyProtection="1">
      <alignment horizontal="center" vertical="center" wrapText="1"/>
      <protection locked="0" hidden="1"/>
    </xf>
    <xf numFmtId="2" fontId="2" fillId="6" borderId="42" xfId="0" applyNumberFormat="1" applyFont="1" applyFill="1" applyBorder="1" applyAlignment="1" applyProtection="1">
      <alignment horizontal="center" vertical="center" wrapText="1"/>
      <protection locked="0" hidden="1"/>
    </xf>
    <xf numFmtId="0" fontId="2" fillId="6" borderId="71" xfId="0" applyFont="1" applyFill="1" applyBorder="1" applyAlignment="1" applyProtection="1">
      <alignment horizontal="center" vertical="center" wrapText="1"/>
      <protection locked="0" hidden="1"/>
    </xf>
    <xf numFmtId="2" fontId="2" fillId="6" borderId="30" xfId="0" applyNumberFormat="1" applyFont="1" applyFill="1" applyBorder="1" applyAlignment="1" applyProtection="1">
      <alignment horizontal="center" vertical="center" wrapText="1"/>
      <protection locked="0" hidden="1"/>
    </xf>
    <xf numFmtId="0" fontId="2" fillId="6" borderId="72" xfId="0" applyFont="1" applyFill="1" applyBorder="1" applyAlignment="1" applyProtection="1">
      <alignment horizontal="center" vertical="center" wrapText="1"/>
      <protection locked="0" hidden="1"/>
    </xf>
    <xf numFmtId="2" fontId="2" fillId="6" borderId="57" xfId="0" applyNumberFormat="1" applyFont="1" applyFill="1" applyBorder="1" applyAlignment="1" applyProtection="1">
      <alignment horizontal="center" vertical="center" wrapText="1"/>
      <protection locked="0" hidden="1"/>
    </xf>
    <xf numFmtId="164" fontId="2" fillId="6" borderId="42" xfId="0" applyNumberFormat="1" applyFont="1" applyFill="1" applyBorder="1" applyAlignment="1" applyProtection="1">
      <alignment horizontal="center" vertical="center" wrapText="1"/>
      <protection locked="0" hidden="1"/>
    </xf>
    <xf numFmtId="164" fontId="2" fillId="6" borderId="30" xfId="0" applyNumberFormat="1" applyFont="1" applyFill="1" applyBorder="1" applyAlignment="1" applyProtection="1">
      <alignment horizontal="center" vertical="center" wrapText="1"/>
      <protection locked="0" hidden="1"/>
    </xf>
    <xf numFmtId="164" fontId="2" fillId="6" borderId="57" xfId="0" applyNumberFormat="1" applyFont="1" applyFill="1" applyBorder="1" applyAlignment="1" applyProtection="1">
      <alignment horizontal="center" vertical="center" wrapText="1"/>
      <protection locked="0" hidden="1"/>
    </xf>
    <xf numFmtId="2" fontId="2" fillId="6" borderId="73" xfId="0" applyNumberFormat="1" applyFont="1" applyFill="1" applyBorder="1" applyAlignment="1" applyProtection="1">
      <alignment horizontal="center" vertical="center" wrapText="1"/>
      <protection locked="0" hidden="1"/>
    </xf>
    <xf numFmtId="164" fontId="2" fillId="6" borderId="74" xfId="0" applyNumberFormat="1" applyFont="1" applyFill="1" applyBorder="1" applyAlignment="1" applyProtection="1">
      <alignment horizontal="center" vertical="center" wrapText="1"/>
      <protection locked="0" hidden="1"/>
    </xf>
    <xf numFmtId="0" fontId="62" fillId="6" borderId="19" xfId="0" applyFont="1" applyFill="1" applyBorder="1" applyAlignment="1" applyProtection="1">
      <alignment horizontal="center" vertical="center" wrapText="1"/>
      <protection locked="0" hidden="1"/>
    </xf>
    <xf numFmtId="0" fontId="62" fillId="6" borderId="75" xfId="0" applyFont="1" applyFill="1" applyBorder="1" applyAlignment="1" applyProtection="1">
      <alignment horizontal="center" vertical="center" wrapText="1"/>
      <protection locked="0" hidden="1"/>
    </xf>
    <xf numFmtId="0" fontId="62" fillId="6" borderId="68" xfId="0" applyFont="1" applyFill="1" applyBorder="1" applyAlignment="1" applyProtection="1">
      <alignment horizontal="center" vertical="center" wrapText="1"/>
      <protection locked="0" hidden="1"/>
    </xf>
    <xf numFmtId="0" fontId="62" fillId="6" borderId="69" xfId="0" applyFont="1" applyFill="1" applyBorder="1" applyAlignment="1" applyProtection="1">
      <alignment horizontal="center" vertical="center" wrapText="1"/>
      <protection locked="0" hidden="1"/>
    </xf>
    <xf numFmtId="0" fontId="59" fillId="6" borderId="70" xfId="0" applyFont="1" applyFill="1" applyBorder="1" applyAlignment="1" applyProtection="1">
      <alignment horizontal="center" vertical="center" wrapText="1"/>
      <protection locked="0" hidden="1"/>
    </xf>
    <xf numFmtId="2" fontId="59" fillId="6" borderId="58" xfId="0" applyNumberFormat="1" applyFont="1" applyFill="1" applyBorder="1" applyAlignment="1" applyProtection="1">
      <alignment horizontal="center" vertical="center" wrapText="1"/>
      <protection locked="0" hidden="1"/>
    </xf>
    <xf numFmtId="2" fontId="59" fillId="6" borderId="56" xfId="0" applyNumberFormat="1" applyFont="1" applyFill="1" applyBorder="1" applyAlignment="1" applyProtection="1">
      <alignment horizontal="center" vertical="center" wrapText="1"/>
      <protection locked="0" hidden="1"/>
    </xf>
    <xf numFmtId="2" fontId="59" fillId="6" borderId="62" xfId="0" applyNumberFormat="1" applyFont="1" applyFill="1" applyBorder="1" applyAlignment="1" applyProtection="1">
      <alignment horizontal="center" vertical="center" wrapText="1"/>
      <protection locked="0" hidden="1"/>
    </xf>
    <xf numFmtId="0" fontId="59" fillId="6" borderId="71" xfId="0" applyFont="1" applyFill="1" applyBorder="1" applyAlignment="1" applyProtection="1">
      <alignment horizontal="center" vertical="center" wrapText="1"/>
      <protection locked="0" hidden="1"/>
    </xf>
    <xf numFmtId="164" fontId="59" fillId="6" borderId="76" xfId="0" applyNumberFormat="1" applyFont="1" applyFill="1" applyBorder="1" applyAlignment="1" applyProtection="1">
      <alignment horizontal="center" vertical="center" wrapText="1"/>
      <protection locked="0" hidden="1"/>
    </xf>
    <xf numFmtId="164" fontId="59" fillId="6" borderId="30" xfId="0" applyNumberFormat="1" applyFont="1" applyFill="1" applyBorder="1" applyAlignment="1" applyProtection="1">
      <alignment horizontal="center" vertical="center" wrapText="1"/>
      <protection locked="0" hidden="1"/>
    </xf>
    <xf numFmtId="2" fontId="59" fillId="6" borderId="77" xfId="0" applyNumberFormat="1" applyFont="1" applyFill="1" applyBorder="1" applyAlignment="1" applyProtection="1">
      <alignment horizontal="center" vertical="center" wrapText="1"/>
      <protection locked="0" hidden="1"/>
    </xf>
    <xf numFmtId="0" fontId="59" fillId="6" borderId="72" xfId="0" applyFont="1" applyFill="1" applyBorder="1" applyAlignment="1" applyProtection="1">
      <alignment horizontal="center" vertical="center" wrapText="1"/>
      <protection locked="0" hidden="1"/>
    </xf>
    <xf numFmtId="2" fontId="59" fillId="6" borderId="59" xfId="0" applyNumberFormat="1" applyFont="1" applyFill="1" applyBorder="1" applyAlignment="1" applyProtection="1">
      <alignment horizontal="center" vertical="center" wrapText="1"/>
      <protection locked="0" hidden="1"/>
    </xf>
    <xf numFmtId="164" fontId="59" fillId="6" borderId="57" xfId="0" applyNumberFormat="1" applyFont="1" applyFill="1" applyBorder="1" applyAlignment="1" applyProtection="1">
      <alignment horizontal="center" vertical="center" wrapText="1"/>
      <protection locked="0" hidden="1"/>
    </xf>
    <xf numFmtId="2" fontId="59" fillId="6" borderId="78" xfId="0" applyNumberFormat="1" applyFont="1" applyFill="1" applyBorder="1" applyAlignment="1" applyProtection="1">
      <alignment horizontal="center" vertical="center" wrapText="1"/>
      <protection locked="0" hidden="1"/>
    </xf>
    <xf numFmtId="164" fontId="59" fillId="6" borderId="79" xfId="0" applyNumberFormat="1" applyFont="1" applyFill="1" applyBorder="1" applyAlignment="1" applyProtection="1">
      <alignment horizontal="center" vertical="center" wrapText="1"/>
      <protection locked="0" hidden="1"/>
    </xf>
    <xf numFmtId="164" fontId="59" fillId="6" borderId="42" xfId="0" applyNumberFormat="1" applyFont="1" applyFill="1" applyBorder="1" applyAlignment="1" applyProtection="1">
      <alignment horizontal="center" vertical="center" wrapText="1"/>
      <protection locked="0" hidden="1"/>
    </xf>
    <xf numFmtId="164" fontId="59" fillId="6" borderId="80" xfId="0" applyNumberFormat="1" applyFont="1" applyFill="1" applyBorder="1" applyAlignment="1" applyProtection="1">
      <alignment horizontal="center" vertical="center" wrapText="1"/>
      <protection locked="0" hidden="1"/>
    </xf>
    <xf numFmtId="164" fontId="59" fillId="6" borderId="81" xfId="0" applyNumberFormat="1" applyFont="1" applyFill="1" applyBorder="1" applyAlignment="1" applyProtection="1">
      <alignment horizontal="center" vertical="center" wrapText="1"/>
      <protection locked="0" hidden="1"/>
    </xf>
    <xf numFmtId="2" fontId="18" fillId="6" borderId="36" xfId="2" applyNumberFormat="1" applyFont="1" applyFill="1" applyBorder="1" applyAlignment="1" applyProtection="1">
      <alignment horizontal="right" vertical="center"/>
      <protection hidden="1"/>
    </xf>
    <xf numFmtId="2" fontId="18" fillId="2" borderId="34" xfId="2" applyNumberFormat="1" applyFont="1" applyFill="1" applyBorder="1" applyAlignment="1" applyProtection="1">
      <alignment horizontal="right" vertical="center"/>
      <protection locked="0"/>
    </xf>
    <xf numFmtId="2" fontId="18" fillId="2" borderId="26" xfId="2" applyNumberFormat="1" applyFont="1" applyFill="1" applyBorder="1" applyAlignment="1" applyProtection="1">
      <alignment horizontal="right" vertical="center"/>
      <protection locked="0"/>
    </xf>
    <xf numFmtId="2" fontId="18" fillId="2" borderId="36" xfId="2" applyNumberFormat="1" applyFont="1" applyFill="1" applyBorder="1" applyAlignment="1" applyProtection="1">
      <alignment horizontal="right" vertical="center"/>
      <protection locked="0"/>
    </xf>
    <xf numFmtId="2" fontId="18" fillId="2" borderId="13" xfId="2" applyNumberFormat="1" applyFont="1" applyFill="1" applyBorder="1" applyAlignment="1" applyProtection="1">
      <alignment horizontal="right" vertical="center"/>
      <protection locked="0"/>
    </xf>
    <xf numFmtId="2" fontId="18" fillId="2" borderId="14" xfId="2" applyNumberFormat="1" applyFont="1" applyFill="1" applyBorder="1" applyAlignment="1" applyProtection="1">
      <alignment horizontal="right" vertical="center"/>
      <protection locked="0"/>
    </xf>
    <xf numFmtId="164" fontId="4" fillId="2" borderId="34" xfId="2" applyNumberFormat="1" applyFont="1" applyFill="1" applyBorder="1" applyAlignment="1" applyProtection="1">
      <alignment horizontal="center" vertical="center" wrapText="1"/>
      <protection locked="0"/>
    </xf>
    <xf numFmtId="164" fontId="4" fillId="2" borderId="26" xfId="2" applyNumberFormat="1" applyFont="1" applyFill="1" applyBorder="1" applyAlignment="1" applyProtection="1">
      <alignment horizontal="center" vertical="center" wrapText="1"/>
      <protection locked="0"/>
    </xf>
    <xf numFmtId="164" fontId="4" fillId="2" borderId="36" xfId="2" applyNumberFormat="1" applyFont="1" applyFill="1" applyBorder="1" applyAlignment="1" applyProtection="1">
      <alignment horizontal="center" vertical="center" wrapText="1"/>
      <protection locked="0"/>
    </xf>
    <xf numFmtId="164" fontId="4" fillId="2" borderId="13" xfId="2" applyNumberFormat="1" applyFont="1" applyFill="1" applyBorder="1" applyAlignment="1" applyProtection="1">
      <alignment horizontal="center" vertical="center" wrapText="1"/>
      <protection locked="0"/>
    </xf>
    <xf numFmtId="0" fontId="4" fillId="6" borderId="0" xfId="2" applyFont="1" applyFill="1" applyBorder="1" applyAlignment="1" applyProtection="1">
      <alignment vertical="center"/>
      <protection hidden="1"/>
    </xf>
    <xf numFmtId="0" fontId="4" fillId="6" borderId="0" xfId="2" applyFont="1" applyFill="1" applyBorder="1" applyAlignment="1" applyProtection="1">
      <alignment vertical="center" wrapText="1"/>
      <protection hidden="1"/>
    </xf>
    <xf numFmtId="0" fontId="49" fillId="6" borderId="0" xfId="2" applyFont="1" applyFill="1" applyBorder="1" applyAlignment="1" applyProtection="1">
      <alignment horizontal="center" vertical="center" wrapText="1"/>
      <protection hidden="1"/>
    </xf>
    <xf numFmtId="0" fontId="4" fillId="6" borderId="0" xfId="2" applyFont="1" applyFill="1" applyBorder="1" applyAlignment="1" applyProtection="1">
      <alignment horizontal="left" vertical="center"/>
      <protection hidden="1"/>
    </xf>
    <xf numFmtId="2" fontId="2" fillId="6" borderId="0" xfId="0" applyNumberFormat="1" applyFont="1" applyFill="1" applyBorder="1" applyAlignment="1" applyProtection="1">
      <alignment horizontal="center" vertical="center" wrapText="1"/>
      <protection hidden="1"/>
    </xf>
    <xf numFmtId="164" fontId="2" fillId="6" borderId="0" xfId="0" applyNumberFormat="1" applyFont="1" applyFill="1" applyBorder="1" applyAlignment="1" applyProtection="1">
      <alignment horizontal="center" vertical="center" wrapText="1"/>
      <protection hidden="1"/>
    </xf>
    <xf numFmtId="2" fontId="66" fillId="6" borderId="0" xfId="0" applyNumberFormat="1" applyFont="1" applyFill="1" applyBorder="1" applyAlignment="1" applyProtection="1">
      <alignment horizontal="left" vertical="center"/>
      <protection hidden="1"/>
    </xf>
    <xf numFmtId="2" fontId="2" fillId="6" borderId="9" xfId="2" applyNumberFormat="1" applyFont="1" applyFill="1" applyBorder="1" applyAlignment="1" applyProtection="1">
      <alignment vertical="center" wrapText="1"/>
      <protection hidden="1"/>
    </xf>
    <xf numFmtId="0" fontId="2" fillId="6" borderId="0" xfId="2" applyFont="1" applyFill="1" applyProtection="1">
      <protection hidden="1"/>
    </xf>
    <xf numFmtId="0" fontId="17" fillId="6" borderId="0" xfId="2" applyFill="1" applyBorder="1" applyAlignment="1" applyProtection="1">
      <alignment horizontal="center" vertical="center"/>
      <protection hidden="1"/>
    </xf>
    <xf numFmtId="0" fontId="6" fillId="6" borderId="6" xfId="0" applyFont="1" applyFill="1" applyBorder="1" applyAlignment="1" applyProtection="1">
      <alignment horizontal="center" vertical="center"/>
      <protection hidden="1"/>
    </xf>
    <xf numFmtId="0" fontId="6" fillId="6" borderId="3" xfId="0" applyFont="1" applyFill="1" applyBorder="1" applyAlignment="1" applyProtection="1">
      <alignment horizontal="center" vertical="center"/>
      <protection hidden="1"/>
    </xf>
    <xf numFmtId="0" fontId="6" fillId="6" borderId="7" xfId="0" applyFont="1" applyFill="1" applyBorder="1" applyAlignment="1" applyProtection="1">
      <alignment horizontal="center" vertical="center"/>
      <protection hidden="1"/>
    </xf>
    <xf numFmtId="0" fontId="62" fillId="6" borderId="0" xfId="0" applyFont="1" applyFill="1" applyAlignment="1" applyProtection="1">
      <alignment horizontal="left" vertical="center"/>
      <protection hidden="1"/>
    </xf>
    <xf numFmtId="0" fontId="59" fillId="6" borderId="0" xfId="0" applyFont="1" applyFill="1" applyAlignment="1" applyProtection="1">
      <alignment horizontal="left" vertical="center" wrapText="1"/>
      <protection hidden="1"/>
    </xf>
    <xf numFmtId="0" fontId="59" fillId="6" borderId="0" xfId="0" applyFont="1" applyFill="1" applyAlignment="1" applyProtection="1">
      <alignment vertical="center"/>
      <protection hidden="1"/>
    </xf>
    <xf numFmtId="0" fontId="59" fillId="6" borderId="0" xfId="0" applyFont="1" applyFill="1" applyAlignment="1" applyProtection="1">
      <alignment vertical="center" wrapText="1"/>
      <protection hidden="1"/>
    </xf>
    <xf numFmtId="0" fontId="59" fillId="6" borderId="17" xfId="0" applyFont="1" applyFill="1" applyBorder="1" applyProtection="1">
      <protection hidden="1"/>
    </xf>
    <xf numFmtId="0" fontId="66" fillId="6" borderId="17" xfId="0" applyFont="1" applyFill="1" applyBorder="1" applyAlignment="1" applyProtection="1">
      <alignment horizontal="center" vertical="center"/>
      <protection hidden="1"/>
    </xf>
    <xf numFmtId="0" fontId="59" fillId="6" borderId="9" xfId="0" applyFont="1" applyFill="1" applyBorder="1" applyProtection="1">
      <protection hidden="1"/>
    </xf>
    <xf numFmtId="0" fontId="66" fillId="6" borderId="9" xfId="0" applyFont="1" applyFill="1" applyBorder="1" applyAlignment="1" applyProtection="1">
      <alignment horizontal="center" vertical="center"/>
      <protection hidden="1"/>
    </xf>
    <xf numFmtId="0" fontId="0" fillId="6" borderId="17" xfId="0" applyFill="1" applyBorder="1"/>
    <xf numFmtId="0" fontId="0" fillId="6" borderId="9" xfId="0" applyFill="1" applyBorder="1"/>
    <xf numFmtId="0" fontId="75" fillId="6" borderId="0" xfId="3" applyFont="1" applyFill="1" applyBorder="1" applyAlignment="1" applyProtection="1">
      <alignment horizontal="left" vertical="center"/>
      <protection hidden="1"/>
    </xf>
    <xf numFmtId="0" fontId="17" fillId="6" borderId="0" xfId="3" applyFill="1" applyBorder="1" applyProtection="1">
      <protection hidden="1"/>
    </xf>
    <xf numFmtId="0" fontId="76" fillId="6" borderId="0" xfId="3" applyFont="1" applyFill="1" applyBorder="1" applyAlignment="1" applyProtection="1">
      <alignment horizontal="left" vertical="center"/>
      <protection hidden="1"/>
    </xf>
    <xf numFmtId="0" fontId="18" fillId="6" borderId="0" xfId="0" applyFont="1" applyFill="1" applyBorder="1" applyAlignment="1" applyProtection="1">
      <alignment horizontal="left" vertical="center"/>
      <protection hidden="1"/>
    </xf>
    <xf numFmtId="164" fontId="66" fillId="6" borderId="0" xfId="0" applyNumberFormat="1" applyFont="1" applyFill="1" applyAlignment="1">
      <alignment horizontal="right" vertical="center"/>
    </xf>
    <xf numFmtId="0" fontId="17" fillId="6" borderId="11" xfId="2" applyFont="1" applyFill="1" applyBorder="1" applyProtection="1">
      <protection hidden="1"/>
    </xf>
    <xf numFmtId="0" fontId="17" fillId="6" borderId="0" xfId="2" applyFont="1" applyFill="1" applyBorder="1" applyAlignment="1" applyProtection="1">
      <alignment vertical="center" wrapText="1"/>
      <protection hidden="1"/>
    </xf>
    <xf numFmtId="0" fontId="17" fillId="6" borderId="12" xfId="2" applyFont="1" applyFill="1" applyBorder="1" applyProtection="1">
      <protection hidden="1"/>
    </xf>
    <xf numFmtId="0" fontId="17" fillId="6" borderId="0" xfId="2" applyFont="1" applyFill="1"/>
    <xf numFmtId="0" fontId="77" fillId="3" borderId="0" xfId="0" applyFont="1" applyFill="1" applyProtection="1">
      <protection hidden="1"/>
    </xf>
    <xf numFmtId="0" fontId="12" fillId="3" borderId="0" xfId="2" applyFont="1" applyFill="1" applyProtection="1">
      <protection hidden="1"/>
    </xf>
    <xf numFmtId="0" fontId="59" fillId="6" borderId="54" xfId="0" applyFont="1" applyFill="1" applyBorder="1" applyAlignment="1" applyProtection="1">
      <alignment vertical="center" wrapText="1"/>
      <protection locked="0" hidden="1"/>
    </xf>
    <xf numFmtId="164" fontId="2" fillId="6" borderId="82" xfId="0" applyNumberFormat="1" applyFont="1" applyFill="1" applyBorder="1" applyAlignment="1" applyProtection="1">
      <alignment horizontal="center" vertical="center" wrapText="1"/>
      <protection locked="0" hidden="1"/>
    </xf>
    <xf numFmtId="164" fontId="2" fillId="6" borderId="83" xfId="0" applyNumberFormat="1" applyFont="1" applyFill="1" applyBorder="1" applyAlignment="1" applyProtection="1">
      <alignment horizontal="center" vertical="center" wrapText="1"/>
      <protection locked="0" hidden="1"/>
    </xf>
    <xf numFmtId="164" fontId="2" fillId="6" borderId="84" xfId="0" applyNumberFormat="1" applyFont="1" applyFill="1" applyBorder="1" applyAlignment="1" applyProtection="1">
      <alignment horizontal="center" vertical="center" wrapText="1"/>
      <protection locked="0" hidden="1"/>
    </xf>
    <xf numFmtId="164" fontId="2" fillId="6" borderId="85" xfId="0" applyNumberFormat="1" applyFont="1" applyFill="1" applyBorder="1" applyAlignment="1" applyProtection="1">
      <alignment horizontal="center" vertical="center" wrapText="1"/>
      <protection locked="0" hidden="1"/>
    </xf>
    <xf numFmtId="2" fontId="2" fillId="6" borderId="84" xfId="0" applyNumberFormat="1" applyFont="1" applyFill="1" applyBorder="1" applyAlignment="1" applyProtection="1">
      <alignment horizontal="center" vertical="center" wrapText="1"/>
      <protection locked="0" hidden="1"/>
    </xf>
    <xf numFmtId="2" fontId="2" fillId="6" borderId="85" xfId="0" applyNumberFormat="1" applyFont="1" applyFill="1" applyBorder="1" applyAlignment="1" applyProtection="1">
      <alignment horizontal="center" vertical="center" wrapText="1"/>
      <protection locked="0" hidden="1"/>
    </xf>
    <xf numFmtId="2" fontId="2" fillId="6" borderId="86" xfId="0" applyNumberFormat="1" applyFont="1" applyFill="1" applyBorder="1" applyAlignment="1" applyProtection="1">
      <alignment horizontal="center" vertical="center" wrapText="1"/>
      <protection locked="0" hidden="1"/>
    </xf>
    <xf numFmtId="2" fontId="2" fillId="6" borderId="87" xfId="0" applyNumberFormat="1" applyFont="1" applyFill="1" applyBorder="1" applyAlignment="1" applyProtection="1">
      <alignment horizontal="center" vertical="center" wrapText="1"/>
      <protection locked="0" hidden="1"/>
    </xf>
    <xf numFmtId="2" fontId="2" fillId="6" borderId="82" xfId="0" applyNumberFormat="1" applyFont="1" applyFill="1" applyBorder="1" applyAlignment="1" applyProtection="1">
      <alignment horizontal="center" vertical="center" wrapText="1"/>
      <protection locked="0" hidden="1"/>
    </xf>
    <xf numFmtId="2" fontId="2" fillId="6" borderId="83" xfId="0" applyNumberFormat="1" applyFont="1" applyFill="1" applyBorder="1" applyAlignment="1" applyProtection="1">
      <alignment horizontal="center" vertical="center" wrapText="1"/>
      <protection locked="0" hidden="1"/>
    </xf>
    <xf numFmtId="0" fontId="4" fillId="6" borderId="52" xfId="0" applyFont="1" applyFill="1" applyBorder="1" applyAlignment="1" applyProtection="1">
      <alignment horizontal="center"/>
      <protection locked="0" hidden="1"/>
    </xf>
    <xf numFmtId="0" fontId="55" fillId="6" borderId="46" xfId="0" applyFont="1" applyFill="1" applyBorder="1" applyAlignment="1" applyProtection="1">
      <alignment horizontal="right" vertical="center"/>
      <protection locked="0" hidden="1"/>
    </xf>
    <xf numFmtId="0" fontId="4" fillId="6" borderId="86" xfId="0" applyFont="1" applyFill="1" applyBorder="1" applyAlignment="1" applyProtection="1">
      <alignment horizontal="center" vertical="center" wrapText="1"/>
      <protection locked="0" hidden="1"/>
    </xf>
    <xf numFmtId="0" fontId="4" fillId="6" borderId="87" xfId="0" applyFont="1" applyFill="1" applyBorder="1" applyAlignment="1" applyProtection="1">
      <alignment horizontal="center" vertical="center" wrapText="1"/>
      <protection locked="0" hidden="1"/>
    </xf>
    <xf numFmtId="164" fontId="2" fillId="6" borderId="45" xfId="0" applyNumberFormat="1" applyFont="1" applyFill="1" applyBorder="1" applyAlignment="1" applyProtection="1">
      <alignment horizontal="center" vertical="center" wrapText="1"/>
      <protection locked="0" hidden="1"/>
    </xf>
    <xf numFmtId="164" fontId="2" fillId="6" borderId="46" xfId="0" applyNumberFormat="1" applyFont="1" applyFill="1" applyBorder="1" applyAlignment="1" applyProtection="1">
      <alignment horizontal="center" vertical="center" wrapText="1"/>
      <protection locked="0" hidden="1"/>
    </xf>
    <xf numFmtId="2" fontId="4" fillId="6" borderId="47" xfId="0" applyNumberFormat="1" applyFont="1" applyFill="1" applyBorder="1" applyAlignment="1" applyProtection="1">
      <alignment horizontal="center" vertical="center" wrapText="1"/>
      <protection locked="0" hidden="1"/>
    </xf>
    <xf numFmtId="2" fontId="4" fillId="6" borderId="48" xfId="0" applyNumberFormat="1" applyFont="1" applyFill="1" applyBorder="1" applyAlignment="1" applyProtection="1">
      <alignment horizontal="center" vertical="center" wrapText="1"/>
      <protection locked="0" hidden="1"/>
    </xf>
    <xf numFmtId="164" fontId="2" fillId="6" borderId="43" xfId="0" applyNumberFormat="1" applyFont="1" applyFill="1" applyBorder="1" applyAlignment="1" applyProtection="1">
      <alignment horizontal="center" vertical="center" wrapText="1"/>
      <protection locked="0" hidden="1"/>
    </xf>
    <xf numFmtId="164" fontId="2" fillId="6" borderId="44" xfId="0" applyNumberFormat="1" applyFont="1" applyFill="1" applyBorder="1" applyAlignment="1" applyProtection="1">
      <alignment horizontal="center" vertical="center" wrapText="1"/>
      <protection locked="0" hidden="1"/>
    </xf>
    <xf numFmtId="164" fontId="59" fillId="6" borderId="45" xfId="0" applyNumberFormat="1" applyFont="1" applyFill="1" applyBorder="1" applyAlignment="1" applyProtection="1">
      <alignment horizontal="center" vertical="center" wrapText="1"/>
      <protection locked="0" hidden="1"/>
    </xf>
    <xf numFmtId="164" fontId="59" fillId="6" borderId="46" xfId="0" applyNumberFormat="1" applyFont="1" applyFill="1" applyBorder="1" applyAlignment="1" applyProtection="1">
      <alignment horizontal="center" vertical="center" wrapText="1"/>
      <protection locked="0" hidden="1"/>
    </xf>
    <xf numFmtId="2" fontId="2" fillId="6" borderId="43" xfId="0" applyNumberFormat="1" applyFont="1" applyFill="1" applyBorder="1" applyAlignment="1" applyProtection="1">
      <alignment horizontal="center" vertical="center" wrapText="1"/>
      <protection locked="0" hidden="1"/>
    </xf>
    <xf numFmtId="2" fontId="2" fillId="6" borderId="44" xfId="0" applyNumberFormat="1" applyFont="1" applyFill="1" applyBorder="1" applyAlignment="1" applyProtection="1">
      <alignment horizontal="center" vertical="center" wrapText="1"/>
      <protection locked="0" hidden="1"/>
    </xf>
    <xf numFmtId="0" fontId="62" fillId="6" borderId="86" xfId="0" applyFont="1" applyFill="1" applyBorder="1" applyAlignment="1" applyProtection="1">
      <alignment horizontal="center" vertical="center" wrapText="1"/>
      <protection locked="0" hidden="1"/>
    </xf>
    <xf numFmtId="0" fontId="62" fillId="6" borderId="87" xfId="0" applyFont="1" applyFill="1" applyBorder="1" applyAlignment="1" applyProtection="1">
      <alignment horizontal="center" vertical="center" wrapText="1"/>
      <protection locked="0" hidden="1"/>
    </xf>
    <xf numFmtId="164" fontId="2" fillId="6" borderId="88" xfId="0" applyNumberFormat="1" applyFont="1" applyFill="1" applyBorder="1" applyAlignment="1" applyProtection="1">
      <alignment horizontal="center" vertical="center" wrapText="1"/>
      <protection locked="0" hidden="1"/>
    </xf>
    <xf numFmtId="2" fontId="2" fillId="6" borderId="88" xfId="0" applyNumberFormat="1" applyFont="1" applyFill="1" applyBorder="1" applyAlignment="1" applyProtection="1">
      <alignment horizontal="center" vertical="center" wrapText="1"/>
      <protection locked="0" hidden="1"/>
    </xf>
    <xf numFmtId="164" fontId="2" fillId="6" borderId="89" xfId="0" applyNumberFormat="1" applyFont="1" applyFill="1" applyBorder="1" applyAlignment="1" applyProtection="1">
      <alignment horizontal="center" vertical="center" wrapText="1"/>
      <protection locked="0" hidden="1"/>
    </xf>
    <xf numFmtId="2" fontId="2" fillId="6" borderId="89" xfId="0" applyNumberFormat="1" applyFont="1" applyFill="1" applyBorder="1" applyAlignment="1" applyProtection="1">
      <alignment horizontal="center" vertical="center" wrapText="1"/>
      <protection locked="0" hidden="1"/>
    </xf>
    <xf numFmtId="2" fontId="59" fillId="6" borderId="43" xfId="0" applyNumberFormat="1" applyFont="1" applyFill="1" applyBorder="1" applyAlignment="1" applyProtection="1">
      <alignment horizontal="center" vertical="center" wrapText="1"/>
      <protection locked="0" hidden="1"/>
    </xf>
    <xf numFmtId="2" fontId="59" fillId="6" borderId="44" xfId="0" applyNumberFormat="1" applyFont="1" applyFill="1" applyBorder="1" applyAlignment="1" applyProtection="1">
      <alignment horizontal="center" vertical="center" wrapText="1"/>
      <protection locked="0" hidden="1"/>
    </xf>
    <xf numFmtId="0" fontId="59" fillId="6" borderId="90" xfId="0" applyFont="1" applyFill="1" applyBorder="1" applyAlignment="1" applyProtection="1">
      <alignment horizontal="left" vertical="center" wrapText="1"/>
      <protection locked="0" hidden="1"/>
    </xf>
    <xf numFmtId="0" fontId="62" fillId="6" borderId="52" xfId="0" applyFont="1" applyFill="1" applyBorder="1" applyAlignment="1" applyProtection="1">
      <alignment horizontal="left" vertical="center" wrapText="1"/>
      <protection locked="0" hidden="1"/>
    </xf>
    <xf numFmtId="0" fontId="59" fillId="6" borderId="54" xfId="0" applyFont="1" applyFill="1" applyBorder="1" applyAlignment="1" applyProtection="1">
      <alignment horizontal="left" vertical="center" wrapText="1"/>
      <protection locked="0" hidden="1"/>
    </xf>
    <xf numFmtId="2" fontId="2" fillId="6" borderId="77" xfId="0" applyNumberFormat="1" applyFont="1" applyFill="1" applyBorder="1" applyAlignment="1" applyProtection="1">
      <alignment horizontal="center" vertical="center" wrapText="1"/>
      <protection locked="0" hidden="1"/>
    </xf>
    <xf numFmtId="2" fontId="2" fillId="6" borderId="91" xfId="0" applyNumberFormat="1" applyFont="1" applyFill="1" applyBorder="1" applyAlignment="1" applyProtection="1">
      <alignment horizontal="center" vertical="center" wrapText="1"/>
      <protection locked="0" hidden="1"/>
    </xf>
    <xf numFmtId="2" fontId="2" fillId="6" borderId="63" xfId="0" applyNumberFormat="1" applyFont="1" applyFill="1" applyBorder="1" applyAlignment="1" applyProtection="1">
      <alignment horizontal="center" vertical="center" wrapText="1"/>
      <protection locked="0" hidden="1"/>
    </xf>
    <xf numFmtId="2" fontId="2" fillId="6" borderId="78" xfId="0" applyNumberFormat="1" applyFont="1" applyFill="1" applyBorder="1" applyAlignment="1" applyProtection="1">
      <alignment horizontal="center" vertical="center" wrapText="1"/>
      <protection locked="0" hidden="1"/>
    </xf>
    <xf numFmtId="2" fontId="4" fillId="6" borderId="92" xfId="0" applyNumberFormat="1" applyFont="1" applyFill="1" applyBorder="1" applyAlignment="1" applyProtection="1">
      <alignment horizontal="center" vertical="center" wrapText="1"/>
      <protection locked="0" hidden="1"/>
    </xf>
    <xf numFmtId="164" fontId="2" fillId="6" borderId="93" xfId="0" applyNumberFormat="1" applyFont="1" applyFill="1" applyBorder="1" applyAlignment="1" applyProtection="1">
      <alignment horizontal="center" vertical="center" wrapText="1"/>
      <protection locked="0" hidden="1"/>
    </xf>
    <xf numFmtId="164" fontId="2" fillId="6" borderId="94" xfId="0" applyNumberFormat="1" applyFont="1" applyFill="1" applyBorder="1" applyAlignment="1" applyProtection="1">
      <alignment horizontal="center" vertical="center" wrapText="1"/>
      <protection locked="0" hidden="1"/>
    </xf>
    <xf numFmtId="2" fontId="2" fillId="6" borderId="94" xfId="0" applyNumberFormat="1" applyFont="1" applyFill="1" applyBorder="1" applyAlignment="1" applyProtection="1">
      <alignment horizontal="center" vertical="center" wrapText="1"/>
      <protection locked="0" hidden="1"/>
    </xf>
    <xf numFmtId="2" fontId="2" fillId="6" borderId="93" xfId="0" applyNumberFormat="1" applyFont="1" applyFill="1" applyBorder="1" applyAlignment="1" applyProtection="1">
      <alignment horizontal="center" vertical="center" wrapText="1"/>
      <protection locked="0" hidden="1"/>
    </xf>
    <xf numFmtId="2" fontId="2" fillId="6" borderId="95" xfId="0" applyNumberFormat="1" applyFont="1" applyFill="1" applyBorder="1" applyAlignment="1" applyProtection="1">
      <alignment horizontal="center" vertical="center" wrapText="1"/>
      <protection locked="0" hidden="1"/>
    </xf>
    <xf numFmtId="164" fontId="2" fillId="6" borderId="96" xfId="0" applyNumberFormat="1" applyFont="1" applyFill="1" applyBorder="1" applyAlignment="1" applyProtection="1">
      <alignment horizontal="center" vertical="center" wrapText="1"/>
      <protection locked="0" hidden="1"/>
    </xf>
    <xf numFmtId="2" fontId="2" fillId="6" borderId="96" xfId="0" applyNumberFormat="1" applyFont="1" applyFill="1" applyBorder="1" applyAlignment="1" applyProtection="1">
      <alignment horizontal="center" vertical="center" wrapText="1"/>
      <protection locked="0" hidden="1"/>
    </xf>
    <xf numFmtId="2" fontId="2" fillId="6" borderId="97" xfId="0" applyNumberFormat="1" applyFont="1" applyFill="1" applyBorder="1" applyAlignment="1" applyProtection="1">
      <alignment horizontal="center" vertical="center" wrapText="1"/>
      <protection locked="0" hidden="1"/>
    </xf>
    <xf numFmtId="0" fontId="59" fillId="6" borderId="98" xfId="0" applyFont="1" applyFill="1" applyBorder="1" applyAlignment="1" applyProtection="1">
      <alignment horizontal="left" vertical="center" wrapText="1"/>
      <protection locked="0" hidden="1"/>
    </xf>
    <xf numFmtId="0" fontId="62" fillId="6" borderId="99" xfId="0" applyFont="1" applyFill="1" applyBorder="1" applyAlignment="1" applyProtection="1">
      <alignment horizontal="left" vertical="center" wrapText="1"/>
      <protection locked="0" hidden="1"/>
    </xf>
    <xf numFmtId="0" fontId="59" fillId="6" borderId="66" xfId="0" applyFont="1" applyFill="1" applyBorder="1" applyAlignment="1" applyProtection="1">
      <alignment horizontal="left" vertical="center" wrapText="1"/>
      <protection locked="0" hidden="1"/>
    </xf>
    <xf numFmtId="0" fontId="62" fillId="6" borderId="64" xfId="0" applyFont="1" applyFill="1" applyBorder="1" applyAlignment="1" applyProtection="1">
      <alignment horizontal="left" vertical="center" wrapText="1"/>
      <protection locked="0" hidden="1"/>
    </xf>
    <xf numFmtId="0" fontId="62" fillId="6" borderId="95" xfId="0" applyFont="1" applyFill="1" applyBorder="1" applyAlignment="1" applyProtection="1">
      <alignment horizontal="center" vertical="center" wrapText="1"/>
      <protection locked="0" hidden="1"/>
    </xf>
    <xf numFmtId="164" fontId="59" fillId="6" borderId="60" xfId="0" applyNumberFormat="1" applyFont="1" applyFill="1" applyBorder="1" applyAlignment="1" applyProtection="1">
      <alignment horizontal="center" vertical="center" wrapText="1"/>
      <protection locked="0" hidden="1"/>
    </xf>
    <xf numFmtId="164" fontId="62" fillId="6" borderId="100" xfId="0" applyNumberFormat="1" applyFont="1" applyFill="1" applyBorder="1" applyAlignment="1" applyProtection="1">
      <alignment horizontal="center" vertical="center" wrapText="1"/>
      <protection locked="0" hidden="1"/>
    </xf>
    <xf numFmtId="164" fontId="62" fillId="6" borderId="101" xfId="0" applyNumberFormat="1" applyFont="1" applyFill="1" applyBorder="1" applyAlignment="1" applyProtection="1">
      <alignment horizontal="center" vertical="center" wrapText="1"/>
      <protection locked="0" hidden="1"/>
    </xf>
    <xf numFmtId="0" fontId="62" fillId="6" borderId="52" xfId="0" applyFont="1" applyFill="1" applyBorder="1" applyAlignment="1" applyProtection="1">
      <alignment vertical="center" wrapText="1"/>
      <protection locked="0" hidden="1"/>
    </xf>
    <xf numFmtId="0" fontId="59" fillId="6" borderId="90" xfId="0" applyFont="1" applyFill="1" applyBorder="1" applyAlignment="1" applyProtection="1">
      <alignment vertical="center" wrapText="1"/>
      <protection locked="0" hidden="1"/>
    </xf>
    <xf numFmtId="0" fontId="55" fillId="6" borderId="34" xfId="0" applyFont="1" applyFill="1" applyBorder="1" applyAlignment="1" applyProtection="1">
      <alignment vertical="center"/>
      <protection locked="0" hidden="1"/>
    </xf>
    <xf numFmtId="0" fontId="4" fillId="6" borderId="95" xfId="0" applyFont="1" applyFill="1" applyBorder="1" applyAlignment="1" applyProtection="1">
      <alignment horizontal="center" vertical="center" wrapText="1"/>
      <protection locked="0" hidden="1"/>
    </xf>
    <xf numFmtId="164" fontId="2" fillId="6" borderId="60" xfId="0" applyNumberFormat="1" applyFont="1" applyFill="1" applyBorder="1" applyAlignment="1" applyProtection="1">
      <alignment horizontal="center" vertical="center" wrapText="1"/>
      <protection locked="0" hidden="1"/>
    </xf>
    <xf numFmtId="164" fontId="2" fillId="6" borderId="97" xfId="0" applyNumberFormat="1" applyFont="1" applyFill="1" applyBorder="1" applyAlignment="1" applyProtection="1">
      <alignment horizontal="center" vertical="center" wrapText="1"/>
      <protection locked="0" hidden="1"/>
    </xf>
    <xf numFmtId="164" fontId="59" fillId="6" borderId="102" xfId="0" applyNumberFormat="1" applyFont="1" applyFill="1" applyBorder="1" applyAlignment="1" applyProtection="1">
      <alignment horizontal="center" vertical="center" wrapText="1"/>
      <protection locked="0" hidden="1"/>
    </xf>
    <xf numFmtId="164" fontId="59" fillId="6" borderId="103" xfId="0" applyNumberFormat="1" applyFont="1" applyFill="1" applyBorder="1" applyAlignment="1" applyProtection="1">
      <alignment horizontal="center" vertical="center" wrapText="1"/>
      <protection locked="0" hidden="1"/>
    </xf>
    <xf numFmtId="164" fontId="59" fillId="6" borderId="104" xfId="0" applyNumberFormat="1" applyFont="1" applyFill="1" applyBorder="1" applyAlignment="1" applyProtection="1">
      <alignment horizontal="center" vertical="center" wrapText="1"/>
      <protection locked="0" hidden="1"/>
    </xf>
    <xf numFmtId="2" fontId="62" fillId="6" borderId="101" xfId="0" applyNumberFormat="1" applyFont="1" applyFill="1" applyBorder="1" applyAlignment="1" applyProtection="1">
      <alignment horizontal="center" vertical="center" wrapText="1"/>
      <protection locked="0" hidden="1"/>
    </xf>
    <xf numFmtId="164" fontId="62" fillId="6" borderId="105" xfId="0" applyNumberFormat="1" applyFont="1" applyFill="1" applyBorder="1" applyAlignment="1" applyProtection="1">
      <alignment horizontal="center" vertical="center" wrapText="1"/>
      <protection locked="0" hidden="1"/>
    </xf>
    <xf numFmtId="2" fontId="59" fillId="6" borderId="104" xfId="0" applyNumberFormat="1" applyFont="1" applyFill="1" applyBorder="1" applyAlignment="1" applyProtection="1">
      <alignment horizontal="center" vertical="center" wrapText="1"/>
      <protection locked="0" hidden="1"/>
    </xf>
    <xf numFmtId="2" fontId="59" fillId="6" borderId="106" xfId="0" applyNumberFormat="1" applyFont="1" applyFill="1" applyBorder="1" applyAlignment="1" applyProtection="1">
      <alignment horizontal="center" vertical="center" wrapText="1"/>
      <protection locked="0" hidden="1"/>
    </xf>
    <xf numFmtId="2" fontId="59" fillId="6" borderId="103" xfId="0" applyNumberFormat="1" applyFont="1" applyFill="1" applyBorder="1" applyAlignment="1" applyProtection="1">
      <alignment horizontal="center" vertical="center" wrapText="1"/>
      <protection locked="0" hidden="1"/>
    </xf>
    <xf numFmtId="0" fontId="59" fillId="6" borderId="90" xfId="0" applyFont="1" applyFill="1" applyBorder="1" applyAlignment="1" applyProtection="1">
      <alignment horizontal="left" vertical="center" wrapText="1"/>
      <protection locked="0" hidden="1"/>
    </xf>
    <xf numFmtId="0" fontId="62" fillId="6" borderId="52" xfId="0" applyFont="1" applyFill="1" applyBorder="1" applyAlignment="1" applyProtection="1">
      <alignment horizontal="left" vertical="center" wrapText="1"/>
      <protection locked="0" hidden="1"/>
    </xf>
    <xf numFmtId="0" fontId="59" fillId="6" borderId="54" xfId="0" applyFont="1" applyFill="1" applyBorder="1" applyAlignment="1" applyProtection="1">
      <alignment horizontal="left" vertical="center" wrapText="1"/>
      <protection locked="0" hidden="1"/>
    </xf>
    <xf numFmtId="0" fontId="78" fillId="6" borderId="0" xfId="0" applyFont="1" applyFill="1"/>
    <xf numFmtId="0" fontId="0" fillId="9" borderId="0" xfId="0" applyFill="1"/>
    <xf numFmtId="164" fontId="59" fillId="6" borderId="107" xfId="0" applyNumberFormat="1" applyFont="1" applyFill="1" applyBorder="1" applyAlignment="1" applyProtection="1">
      <alignment horizontal="center" vertical="center" wrapText="1"/>
      <protection locked="0" hidden="1"/>
    </xf>
    <xf numFmtId="164" fontId="59" fillId="6" borderId="61" xfId="0" applyNumberFormat="1" applyFont="1" applyFill="1" applyBorder="1" applyAlignment="1" applyProtection="1">
      <alignment horizontal="center" vertical="center" wrapText="1"/>
      <protection locked="0" hidden="1"/>
    </xf>
    <xf numFmtId="2" fontId="4" fillId="6" borderId="108" xfId="0" applyNumberFormat="1" applyFont="1" applyFill="1" applyBorder="1" applyAlignment="1" applyProtection="1">
      <alignment horizontal="center" vertical="center" wrapText="1"/>
      <protection locked="0" hidden="1"/>
    </xf>
    <xf numFmtId="2" fontId="4" fillId="6" borderId="55" xfId="0" applyNumberFormat="1" applyFont="1" applyFill="1" applyBorder="1" applyAlignment="1" applyProtection="1">
      <alignment horizontal="center" vertical="center" wrapText="1"/>
      <protection locked="0" hidden="1"/>
    </xf>
    <xf numFmtId="164" fontId="2" fillId="6" borderId="109" xfId="0" applyNumberFormat="1" applyFont="1" applyFill="1" applyBorder="1" applyAlignment="1" applyProtection="1">
      <alignment horizontal="center" vertical="center" wrapText="1"/>
      <protection locked="0" hidden="1"/>
    </xf>
    <xf numFmtId="164" fontId="2" fillId="6" borderId="110" xfId="0" applyNumberFormat="1" applyFont="1" applyFill="1" applyBorder="1" applyAlignment="1" applyProtection="1">
      <alignment horizontal="center" vertical="center" wrapText="1"/>
      <protection locked="0" hidden="1"/>
    </xf>
    <xf numFmtId="164" fontId="2" fillId="6" borderId="111" xfId="0" applyNumberFormat="1" applyFont="1" applyFill="1" applyBorder="1" applyAlignment="1" applyProtection="1">
      <alignment horizontal="center" vertical="center" wrapText="1"/>
      <protection locked="0" hidden="1"/>
    </xf>
    <xf numFmtId="2" fontId="2" fillId="6" borderId="110" xfId="0" applyNumberFormat="1" applyFont="1" applyFill="1" applyBorder="1" applyAlignment="1" applyProtection="1">
      <alignment horizontal="center" vertical="center" wrapText="1"/>
      <protection locked="0" hidden="1"/>
    </xf>
    <xf numFmtId="2" fontId="2" fillId="6" borderId="111" xfId="0" applyNumberFormat="1" applyFont="1" applyFill="1" applyBorder="1" applyAlignment="1" applyProtection="1">
      <alignment horizontal="center" vertical="center" wrapText="1"/>
      <protection locked="0" hidden="1"/>
    </xf>
    <xf numFmtId="2" fontId="2" fillId="6" borderId="109" xfId="0" applyNumberFormat="1" applyFont="1" applyFill="1" applyBorder="1" applyAlignment="1" applyProtection="1">
      <alignment horizontal="center" vertical="center" wrapText="1"/>
      <protection locked="0" hidden="1"/>
    </xf>
    <xf numFmtId="2" fontId="2" fillId="6" borderId="112" xfId="0" applyNumberFormat="1" applyFont="1" applyFill="1" applyBorder="1" applyAlignment="1" applyProtection="1">
      <alignment horizontal="center" vertical="center" wrapText="1"/>
      <protection locked="0" hidden="1"/>
    </xf>
    <xf numFmtId="164" fontId="2" fillId="6" borderId="113" xfId="0" applyNumberFormat="1" applyFont="1" applyFill="1" applyBorder="1" applyAlignment="1" applyProtection="1">
      <alignment horizontal="center" vertical="center" wrapText="1"/>
      <protection locked="0" hidden="1"/>
    </xf>
    <xf numFmtId="164" fontId="2" fillId="6" borderId="53" xfId="0" applyNumberFormat="1" applyFont="1" applyFill="1" applyBorder="1" applyAlignment="1" applyProtection="1">
      <alignment horizontal="center" vertical="center" wrapText="1"/>
      <protection locked="0" hidden="1"/>
    </xf>
    <xf numFmtId="2" fontId="2" fillId="6" borderId="113" xfId="0" applyNumberFormat="1" applyFont="1" applyFill="1" applyBorder="1" applyAlignment="1" applyProtection="1">
      <alignment horizontal="center" vertical="center" wrapText="1"/>
      <protection locked="0" hidden="1"/>
    </xf>
    <xf numFmtId="2" fontId="2" fillId="6" borderId="53" xfId="0" applyNumberFormat="1" applyFont="1" applyFill="1" applyBorder="1" applyAlignment="1" applyProtection="1">
      <alignment horizontal="center" vertical="center" wrapText="1"/>
      <protection locked="0" hidden="1"/>
    </xf>
    <xf numFmtId="2" fontId="2" fillId="6" borderId="114" xfId="0" applyNumberFormat="1" applyFont="1" applyFill="1" applyBorder="1" applyAlignment="1" applyProtection="1">
      <alignment horizontal="center" vertical="center" wrapText="1"/>
      <protection locked="0" hidden="1"/>
    </xf>
    <xf numFmtId="164" fontId="2" fillId="6" borderId="114" xfId="0" applyNumberFormat="1" applyFont="1" applyFill="1" applyBorder="1" applyAlignment="1" applyProtection="1">
      <alignment horizontal="center" vertical="center" wrapText="1"/>
      <protection locked="0" hidden="1"/>
    </xf>
    <xf numFmtId="2" fontId="62" fillId="6" borderId="47" xfId="0" applyNumberFormat="1" applyFont="1" applyFill="1" applyBorder="1" applyAlignment="1" applyProtection="1">
      <alignment horizontal="center" vertical="center" wrapText="1"/>
      <protection locked="0" hidden="1"/>
    </xf>
    <xf numFmtId="2" fontId="62" fillId="6" borderId="48" xfId="0" applyNumberFormat="1" applyFont="1" applyFill="1" applyBorder="1" applyAlignment="1" applyProtection="1">
      <alignment horizontal="center" vertical="center" wrapText="1"/>
      <protection locked="0" hidden="1"/>
    </xf>
    <xf numFmtId="2" fontId="62" fillId="6" borderId="115" xfId="0" applyNumberFormat="1" applyFont="1" applyFill="1" applyBorder="1" applyAlignment="1" applyProtection="1">
      <alignment horizontal="center" vertical="center" wrapText="1"/>
      <protection locked="0" hidden="1"/>
    </xf>
    <xf numFmtId="2" fontId="62" fillId="6" borderId="116" xfId="0" applyNumberFormat="1" applyFont="1" applyFill="1" applyBorder="1" applyAlignment="1" applyProtection="1">
      <alignment horizontal="center" vertical="center" wrapText="1"/>
      <protection locked="0" hidden="1"/>
    </xf>
    <xf numFmtId="2" fontId="62" fillId="6" borderId="43" xfId="0" applyNumberFormat="1" applyFont="1" applyFill="1" applyBorder="1" applyAlignment="1" applyProtection="1">
      <alignment horizontal="center" vertical="center" wrapText="1"/>
      <protection locked="0" hidden="1"/>
    </xf>
    <xf numFmtId="2" fontId="62" fillId="6" borderId="44" xfId="0" applyNumberFormat="1" applyFont="1" applyFill="1" applyBorder="1" applyAlignment="1" applyProtection="1">
      <alignment horizontal="center" vertical="center" wrapText="1"/>
      <protection locked="0" hidden="1"/>
    </xf>
    <xf numFmtId="0" fontId="2" fillId="6" borderId="13" xfId="0" applyFont="1" applyFill="1" applyBorder="1" applyAlignment="1" applyProtection="1">
      <alignment vertical="center"/>
      <protection hidden="1"/>
    </xf>
    <xf numFmtId="0" fontId="2" fillId="6" borderId="14" xfId="0" applyFont="1" applyFill="1" applyBorder="1" applyAlignment="1" applyProtection="1">
      <alignment vertical="center"/>
      <protection hidden="1"/>
    </xf>
    <xf numFmtId="0" fontId="62" fillId="6" borderId="0" xfId="0" applyFont="1" applyFill="1" applyAlignment="1"/>
    <xf numFmtId="0" fontId="2" fillId="6" borderId="13" xfId="0" applyFont="1" applyFill="1" applyBorder="1" applyAlignment="1" applyProtection="1">
      <alignment horizontal="left" vertical="center"/>
      <protection hidden="1"/>
    </xf>
    <xf numFmtId="0" fontId="2" fillId="6" borderId="26" xfId="0" applyFont="1" applyFill="1" applyBorder="1" applyAlignment="1" applyProtection="1">
      <alignment horizontal="left" vertical="center"/>
      <protection hidden="1"/>
    </xf>
    <xf numFmtId="0" fontId="2" fillId="6" borderId="14" xfId="0" applyFont="1" applyFill="1" applyBorder="1" applyAlignment="1" applyProtection="1">
      <alignment horizontal="left" vertical="center"/>
      <protection hidden="1"/>
    </xf>
    <xf numFmtId="0" fontId="2" fillId="6" borderId="0" xfId="0" applyFont="1" applyFill="1" applyBorder="1" applyAlignment="1" applyProtection="1">
      <alignment horizontal="center" vertical="center"/>
      <protection hidden="1"/>
    </xf>
    <xf numFmtId="0" fontId="2" fillId="6" borderId="0" xfId="0" applyFont="1" applyFill="1" applyAlignment="1" applyProtection="1">
      <alignment vertical="center"/>
      <protection hidden="1"/>
    </xf>
    <xf numFmtId="0" fontId="62" fillId="6" borderId="52" xfId="0" applyFont="1" applyFill="1" applyBorder="1" applyAlignment="1" applyProtection="1">
      <alignment horizontal="left" vertical="center" wrapText="1"/>
      <protection locked="0" hidden="1"/>
    </xf>
    <xf numFmtId="0" fontId="59" fillId="6" borderId="90" xfId="0" applyFont="1" applyFill="1" applyBorder="1" applyAlignment="1" applyProtection="1">
      <alignment horizontal="left" vertical="center" wrapText="1"/>
      <protection locked="0" hidden="1"/>
    </xf>
    <xf numFmtId="0" fontId="59" fillId="6" borderId="54" xfId="0" applyFont="1" applyFill="1" applyBorder="1" applyAlignment="1" applyProtection="1">
      <alignment horizontal="left" vertical="center" wrapText="1"/>
      <protection locked="0" hidden="1"/>
    </xf>
    <xf numFmtId="0" fontId="2" fillId="6" borderId="0" xfId="0" applyFont="1" applyFill="1" applyBorder="1" applyAlignment="1" applyProtection="1">
      <alignment horizontal="left" vertical="center"/>
      <protection hidden="1"/>
    </xf>
    <xf numFmtId="2" fontId="4" fillId="6" borderId="42" xfId="0" applyNumberFormat="1" applyFont="1" applyFill="1" applyBorder="1" applyAlignment="1" applyProtection="1">
      <alignment horizontal="center" vertical="center" wrapText="1"/>
      <protection locked="0" hidden="1"/>
    </xf>
    <xf numFmtId="2" fontId="4" fillId="6" borderId="30" xfId="0" applyNumberFormat="1" applyFont="1" applyFill="1" applyBorder="1" applyAlignment="1" applyProtection="1">
      <alignment horizontal="center" vertical="center" wrapText="1"/>
      <protection locked="0" hidden="1"/>
    </xf>
    <xf numFmtId="2" fontId="4" fillId="6" borderId="57" xfId="0" applyNumberFormat="1" applyFont="1" applyFill="1" applyBorder="1" applyAlignment="1" applyProtection="1">
      <alignment horizontal="center" vertical="center" wrapText="1"/>
      <protection locked="0" hidden="1"/>
    </xf>
    <xf numFmtId="2" fontId="4" fillId="6" borderId="74" xfId="0" applyNumberFormat="1" applyFont="1" applyFill="1" applyBorder="1" applyAlignment="1" applyProtection="1">
      <alignment horizontal="center" vertical="center" wrapText="1"/>
      <protection locked="0" hidden="1"/>
    </xf>
    <xf numFmtId="2" fontId="62" fillId="6" borderId="56" xfId="0" applyNumberFormat="1" applyFont="1" applyFill="1" applyBorder="1" applyAlignment="1" applyProtection="1">
      <alignment horizontal="center" vertical="center" wrapText="1"/>
      <protection locked="0" hidden="1"/>
    </xf>
    <xf numFmtId="2" fontId="62" fillId="6" borderId="42" xfId="0" applyNumberFormat="1" applyFont="1" applyFill="1" applyBorder="1" applyAlignment="1" applyProtection="1">
      <alignment horizontal="center" vertical="center" wrapText="1"/>
      <protection locked="0" hidden="1"/>
    </xf>
    <xf numFmtId="2" fontId="62" fillId="6" borderId="74" xfId="0" applyNumberFormat="1" applyFont="1" applyFill="1" applyBorder="1" applyAlignment="1" applyProtection="1">
      <alignment horizontal="center" vertical="center" wrapText="1"/>
      <protection locked="0" hidden="1"/>
    </xf>
    <xf numFmtId="2" fontId="62" fillId="6" borderId="30" xfId="0" applyNumberFormat="1" applyFont="1" applyFill="1" applyBorder="1" applyAlignment="1" applyProtection="1">
      <alignment horizontal="center" vertical="center" wrapText="1"/>
      <protection locked="0" hidden="1"/>
    </xf>
    <xf numFmtId="2" fontId="62" fillId="6" borderId="57" xfId="0" applyNumberFormat="1" applyFont="1" applyFill="1" applyBorder="1" applyAlignment="1" applyProtection="1">
      <alignment horizontal="center" vertical="center" wrapText="1"/>
      <protection locked="0" hidden="1"/>
    </xf>
    <xf numFmtId="164" fontId="62" fillId="6" borderId="107" xfId="0" applyNumberFormat="1" applyFont="1" applyFill="1" applyBorder="1" applyAlignment="1" applyProtection="1">
      <alignment horizontal="center" vertical="center" wrapText="1"/>
      <protection locked="0" hidden="1"/>
    </xf>
    <xf numFmtId="164" fontId="62" fillId="6" borderId="46" xfId="0" applyNumberFormat="1" applyFont="1" applyFill="1" applyBorder="1" applyAlignment="1" applyProtection="1">
      <alignment horizontal="center" vertical="center" wrapText="1"/>
      <protection locked="0" hidden="1"/>
    </xf>
    <xf numFmtId="164" fontId="59" fillId="6" borderId="108" xfId="0" applyNumberFormat="1" applyFont="1" applyFill="1" applyBorder="1" applyAlignment="1" applyProtection="1">
      <alignment horizontal="center" vertical="center" wrapText="1"/>
      <protection locked="0" hidden="1"/>
    </xf>
    <xf numFmtId="2" fontId="59" fillId="6" borderId="114" xfId="0" applyNumberFormat="1" applyFont="1" applyFill="1" applyBorder="1" applyAlignment="1" applyProtection="1">
      <alignment horizontal="center" vertical="center" wrapText="1"/>
      <protection locked="0" hidden="1"/>
    </xf>
    <xf numFmtId="0" fontId="2" fillId="6" borderId="13" xfId="0" applyFont="1" applyFill="1" applyBorder="1" applyAlignment="1" applyProtection="1">
      <alignment horizontal="left" vertical="center" indent="3"/>
      <protection hidden="1"/>
    </xf>
    <xf numFmtId="0" fontId="2" fillId="6" borderId="14" xfId="0" applyFont="1" applyFill="1" applyBorder="1" applyAlignment="1" applyProtection="1">
      <alignment horizontal="left" vertical="center" indent="3"/>
      <protection hidden="1"/>
    </xf>
    <xf numFmtId="0" fontId="2" fillId="6" borderId="13" xfId="0" applyFont="1" applyFill="1" applyBorder="1" applyAlignment="1" applyProtection="1">
      <alignment horizontal="left" vertical="center" wrapText="1" indent="3"/>
      <protection hidden="1"/>
    </xf>
    <xf numFmtId="0" fontId="2" fillId="6" borderId="26" xfId="0" applyFont="1" applyFill="1" applyBorder="1" applyAlignment="1" applyProtection="1">
      <alignment horizontal="left" vertical="center" wrapText="1" indent="3"/>
      <protection hidden="1"/>
    </xf>
    <xf numFmtId="0" fontId="2" fillId="6" borderId="14" xfId="0" applyFont="1" applyFill="1" applyBorder="1" applyAlignment="1" applyProtection="1">
      <alignment horizontal="left" vertical="center" wrapText="1" indent="3"/>
      <protection hidden="1"/>
    </xf>
    <xf numFmtId="0" fontId="2" fillId="6" borderId="0" xfId="0" applyFont="1" applyFill="1" applyBorder="1" applyAlignment="1" applyProtection="1">
      <alignment horizontal="left" vertical="center" wrapText="1" indent="3"/>
      <protection hidden="1"/>
    </xf>
    <xf numFmtId="164" fontId="62" fillId="6" borderId="110" xfId="0" applyNumberFormat="1" applyFont="1" applyFill="1" applyBorder="1" applyAlignment="1" applyProtection="1">
      <alignment horizontal="center" vertical="center" wrapText="1"/>
      <protection locked="0" hidden="1"/>
    </xf>
    <xf numFmtId="164" fontId="62" fillId="6" borderId="85" xfId="0" applyNumberFormat="1" applyFont="1" applyFill="1" applyBorder="1" applyAlignment="1" applyProtection="1">
      <alignment horizontal="center" vertical="center" wrapText="1"/>
      <protection locked="0" hidden="1"/>
    </xf>
    <xf numFmtId="164" fontId="59" fillId="6" borderId="109" xfId="0" applyNumberFormat="1" applyFont="1" applyFill="1" applyBorder="1" applyAlignment="1" applyProtection="1">
      <alignment horizontal="center" vertical="center" wrapText="1"/>
      <protection locked="0" hidden="1"/>
    </xf>
    <xf numFmtId="164" fontId="59" fillId="6" borderId="89" xfId="0" applyNumberFormat="1" applyFont="1" applyFill="1" applyBorder="1" applyAlignment="1" applyProtection="1">
      <alignment horizontal="center" vertical="center" wrapText="1"/>
      <protection locked="0" hidden="1"/>
    </xf>
    <xf numFmtId="2" fontId="62" fillId="6" borderId="110" xfId="0" applyNumberFormat="1" applyFont="1" applyFill="1" applyBorder="1" applyAlignment="1" applyProtection="1">
      <alignment horizontal="center" vertical="center" wrapText="1"/>
      <protection locked="0" hidden="1"/>
    </xf>
    <xf numFmtId="2" fontId="62" fillId="6" borderId="85" xfId="0" applyNumberFormat="1" applyFont="1" applyFill="1" applyBorder="1" applyAlignment="1" applyProtection="1">
      <alignment horizontal="center" vertical="center" wrapText="1"/>
      <protection locked="0" hidden="1"/>
    </xf>
    <xf numFmtId="2" fontId="59" fillId="6" borderId="109" xfId="0" applyNumberFormat="1" applyFont="1" applyFill="1" applyBorder="1" applyAlignment="1" applyProtection="1">
      <alignment horizontal="center" vertical="center" wrapText="1"/>
      <protection locked="0" hidden="1"/>
    </xf>
    <xf numFmtId="2" fontId="59" fillId="6" borderId="89" xfId="0" applyNumberFormat="1" applyFont="1" applyFill="1" applyBorder="1" applyAlignment="1" applyProtection="1">
      <alignment horizontal="center" vertical="center" wrapText="1"/>
      <protection locked="0" hidden="1"/>
    </xf>
    <xf numFmtId="2" fontId="59" fillId="6" borderId="110" xfId="0" applyNumberFormat="1" applyFont="1" applyFill="1" applyBorder="1" applyAlignment="1" applyProtection="1">
      <alignment horizontal="center" vertical="center" wrapText="1"/>
      <protection locked="0" hidden="1"/>
    </xf>
    <xf numFmtId="0" fontId="62" fillId="6" borderId="112" xfId="0" applyFont="1" applyFill="1" applyBorder="1" applyAlignment="1" applyProtection="1">
      <alignment horizontal="center" vertical="center" wrapText="1"/>
      <protection locked="0" hidden="1"/>
    </xf>
    <xf numFmtId="0" fontId="79" fillId="6" borderId="0" xfId="0" applyFont="1" applyFill="1" applyBorder="1" applyAlignment="1" applyProtection="1">
      <alignment horizontal="center" vertical="center"/>
      <protection hidden="1"/>
    </xf>
    <xf numFmtId="0" fontId="59" fillId="9" borderId="0" xfId="0" applyFont="1" applyFill="1" applyBorder="1" applyProtection="1">
      <protection hidden="1"/>
    </xf>
    <xf numFmtId="0" fontId="80" fillId="9" borderId="0" xfId="0" applyFont="1" applyFill="1"/>
    <xf numFmtId="0" fontId="80" fillId="9" borderId="0" xfId="0" applyFont="1" applyFill="1" applyBorder="1" applyProtection="1">
      <protection hidden="1"/>
    </xf>
    <xf numFmtId="0" fontId="80" fillId="9" borderId="0" xfId="0" applyFont="1" applyFill="1" applyProtection="1">
      <protection hidden="1"/>
    </xf>
    <xf numFmtId="0" fontId="81" fillId="9" borderId="0" xfId="0" applyFont="1" applyFill="1" applyProtection="1">
      <protection hidden="1"/>
    </xf>
    <xf numFmtId="164" fontId="62" fillId="6" borderId="0" xfId="0" applyNumberFormat="1" applyFont="1" applyFill="1" applyBorder="1" applyAlignment="1">
      <alignment horizontal="center" vertical="center"/>
    </xf>
    <xf numFmtId="0" fontId="82" fillId="6" borderId="0" xfId="0" applyFont="1" applyFill="1" applyBorder="1" applyAlignment="1" applyProtection="1">
      <alignment horizontal="left"/>
      <protection hidden="1"/>
    </xf>
    <xf numFmtId="0" fontId="79" fillId="6" borderId="0" xfId="0" applyFont="1" applyFill="1" applyBorder="1" applyAlignment="1" applyProtection="1">
      <alignment horizontal="left" vertical="top"/>
      <protection hidden="1"/>
    </xf>
    <xf numFmtId="0" fontId="2" fillId="6" borderId="0" xfId="0" applyFont="1" applyFill="1"/>
    <xf numFmtId="0" fontId="66" fillId="6" borderId="0" xfId="0" applyFont="1" applyFill="1" applyAlignment="1" applyProtection="1">
      <alignment horizontal="center"/>
      <protection hidden="1"/>
    </xf>
    <xf numFmtId="0" fontId="73" fillId="6" borderId="0" xfId="0" applyFont="1" applyFill="1"/>
    <xf numFmtId="0" fontId="57" fillId="6" borderId="0" xfId="0" applyFont="1" applyFill="1"/>
    <xf numFmtId="0" fontId="66" fillId="9" borderId="0" xfId="0" applyFont="1" applyFill="1" applyBorder="1" applyProtection="1">
      <protection hidden="1"/>
    </xf>
    <xf numFmtId="0" fontId="0" fillId="9" borderId="0" xfId="0" applyFill="1" applyBorder="1" applyProtection="1">
      <protection hidden="1"/>
    </xf>
    <xf numFmtId="0" fontId="59" fillId="9" borderId="0" xfId="0" applyFont="1" applyFill="1" applyProtection="1">
      <protection hidden="1"/>
    </xf>
    <xf numFmtId="0" fontId="0" fillId="9" borderId="0" xfId="0" applyFill="1" applyProtection="1">
      <protection hidden="1"/>
    </xf>
    <xf numFmtId="0" fontId="59" fillId="6" borderId="19" xfId="0" applyFont="1" applyFill="1" applyBorder="1" applyAlignment="1" applyProtection="1">
      <alignment horizontal="right" vertical="center"/>
      <protection hidden="1"/>
    </xf>
    <xf numFmtId="0" fontId="62" fillId="6" borderId="0" xfId="0" applyFont="1" applyFill="1" applyProtection="1">
      <protection hidden="1"/>
    </xf>
    <xf numFmtId="0" fontId="59" fillId="4" borderId="0" xfId="0" applyFont="1" applyFill="1" applyBorder="1" applyProtection="1">
      <protection hidden="1"/>
    </xf>
    <xf numFmtId="0" fontId="73" fillId="6" borderId="0" xfId="0" applyFont="1" applyFill="1" applyBorder="1" applyProtection="1">
      <protection hidden="1"/>
    </xf>
    <xf numFmtId="0" fontId="73" fillId="9" borderId="0" xfId="0" applyFont="1" applyFill="1" applyBorder="1" applyProtection="1">
      <protection hidden="1"/>
    </xf>
    <xf numFmtId="0" fontId="17" fillId="4" borderId="0" xfId="2" applyFill="1" applyBorder="1" applyProtection="1">
      <protection hidden="1"/>
    </xf>
    <xf numFmtId="0" fontId="17" fillId="9" borderId="0" xfId="2" applyFill="1" applyBorder="1" applyProtection="1">
      <protection hidden="1"/>
    </xf>
    <xf numFmtId="0" fontId="17" fillId="9" borderId="0" xfId="2" applyFill="1"/>
    <xf numFmtId="0" fontId="66" fillId="6" borderId="0" xfId="0" applyFont="1" applyFill="1" applyBorder="1" applyAlignment="1" applyProtection="1">
      <alignment horizontal="center" vertical="center"/>
      <protection hidden="1"/>
    </xf>
    <xf numFmtId="0" fontId="2" fillId="4" borderId="0" xfId="0" applyFont="1" applyFill="1" applyBorder="1" applyAlignment="1" applyProtection="1">
      <alignment horizontal="center" vertical="center" wrapText="1"/>
      <protection hidden="1"/>
    </xf>
    <xf numFmtId="0" fontId="2" fillId="4" borderId="0" xfId="0" applyFont="1" applyFill="1" applyBorder="1" applyAlignment="1" applyProtection="1">
      <alignment vertical="center" wrapText="1"/>
      <protection hidden="1"/>
    </xf>
    <xf numFmtId="0" fontId="34" fillId="4" borderId="0" xfId="0" applyFont="1" applyFill="1" applyBorder="1" applyAlignment="1" applyProtection="1">
      <alignment horizontal="left" vertical="center" wrapText="1" indent="1"/>
      <protection hidden="1"/>
    </xf>
    <xf numFmtId="0" fontId="0" fillId="6" borderId="0" xfId="0" applyFill="1" applyBorder="1" applyAlignment="1" applyProtection="1">
      <alignment horizontal="left"/>
      <protection hidden="1"/>
    </xf>
    <xf numFmtId="0" fontId="0" fillId="6" borderId="0" xfId="0" applyFill="1" applyBorder="1" applyAlignment="1" applyProtection="1">
      <alignment horizontal="right"/>
      <protection hidden="1"/>
    </xf>
    <xf numFmtId="0" fontId="85" fillId="6" borderId="0" xfId="0" applyFont="1" applyFill="1" applyAlignment="1">
      <alignment horizontal="center" vertical="center"/>
    </xf>
    <xf numFmtId="0" fontId="59" fillId="6" borderId="0" xfId="0" applyFont="1" applyFill="1" applyAlignment="1">
      <alignment horizontal="left" vertical="center"/>
    </xf>
    <xf numFmtId="0" fontId="38" fillId="4" borderId="0" xfId="2" applyFont="1" applyFill="1" applyBorder="1" applyAlignment="1" applyProtection="1">
      <alignment horizontal="left" vertical="center"/>
      <protection hidden="1"/>
    </xf>
    <xf numFmtId="0" fontId="4" fillId="6" borderId="40" xfId="2" applyFont="1" applyFill="1" applyBorder="1" applyAlignment="1" applyProtection="1">
      <alignment horizontal="left" vertical="center" wrapText="1"/>
      <protection locked="0" hidden="1"/>
    </xf>
    <xf numFmtId="0" fontId="17" fillId="6" borderId="41" xfId="2" applyFont="1" applyFill="1" applyBorder="1" applyProtection="1">
      <protection locked="0" hidden="1"/>
    </xf>
    <xf numFmtId="164" fontId="2" fillId="6" borderId="42" xfId="2" applyNumberFormat="1" applyFont="1" applyFill="1" applyBorder="1" applyAlignment="1" applyProtection="1">
      <alignment horizontal="center" vertical="center" wrapText="1"/>
      <protection locked="0" hidden="1"/>
    </xf>
    <xf numFmtId="164" fontId="2" fillId="6" borderId="30" xfId="2" applyNumberFormat="1" applyFont="1" applyFill="1" applyBorder="1" applyAlignment="1" applyProtection="1">
      <alignment horizontal="center" vertical="center" wrapText="1"/>
      <protection locked="0" hidden="1"/>
    </xf>
    <xf numFmtId="0" fontId="17" fillId="6" borderId="30" xfId="2" quotePrefix="1" applyFont="1" applyFill="1" applyBorder="1" applyAlignment="1" applyProtection="1">
      <alignment horizontal="center" vertical="center"/>
      <protection locked="0" hidden="1"/>
    </xf>
    <xf numFmtId="0" fontId="17" fillId="6" borderId="30" xfId="2" applyFont="1" applyFill="1" applyBorder="1" applyAlignment="1" applyProtection="1">
      <alignment horizontal="center" vertical="center"/>
      <protection locked="0" hidden="1"/>
    </xf>
    <xf numFmtId="164" fontId="73" fillId="4" borderId="0" xfId="0" applyNumberFormat="1" applyFont="1" applyFill="1" applyBorder="1" applyAlignment="1" applyProtection="1">
      <alignment horizontal="left" vertical="center"/>
      <protection hidden="1"/>
    </xf>
    <xf numFmtId="0" fontId="65" fillId="6" borderId="0" xfId="2" applyFont="1" applyFill="1" applyAlignment="1" applyProtection="1">
      <alignment horizontal="center" vertical="center"/>
      <protection hidden="1"/>
    </xf>
    <xf numFmtId="0" fontId="88" fillId="4" borderId="0" xfId="0" applyFont="1" applyFill="1" applyBorder="1" applyAlignment="1" applyProtection="1">
      <alignment horizontal="left" vertical="center" wrapText="1" indent="1"/>
      <protection hidden="1"/>
    </xf>
    <xf numFmtId="164" fontId="62" fillId="6" borderId="0" xfId="0" applyNumberFormat="1" applyFont="1" applyFill="1" applyAlignment="1">
      <alignment horizontal="center" vertical="center"/>
    </xf>
    <xf numFmtId="0" fontId="2" fillId="6" borderId="0" xfId="2" applyFont="1" applyFill="1"/>
    <xf numFmtId="0" fontId="17" fillId="0" borderId="0" xfId="2" applyFont="1"/>
    <xf numFmtId="0" fontId="17" fillId="5" borderId="0" xfId="2" applyFill="1" applyProtection="1">
      <protection locked="0" hidden="1"/>
    </xf>
    <xf numFmtId="0" fontId="0" fillId="6" borderId="0" xfId="0" applyFont="1" applyFill="1" applyBorder="1"/>
    <xf numFmtId="2" fontId="62" fillId="6" borderId="0" xfId="0" applyNumberFormat="1" applyFont="1" applyFill="1" applyBorder="1" applyAlignment="1">
      <alignment horizontal="center" vertical="center"/>
    </xf>
    <xf numFmtId="0" fontId="59" fillId="11" borderId="0" xfId="0" applyFont="1" applyFill="1" applyBorder="1"/>
    <xf numFmtId="0" fontId="59" fillId="6" borderId="0" xfId="0" applyFont="1" applyFill="1" applyAlignment="1">
      <alignment horizontal="left" vertical="center"/>
    </xf>
    <xf numFmtId="0" fontId="68" fillId="6" borderId="0" xfId="0" applyFont="1" applyFill="1" applyBorder="1" applyAlignment="1">
      <alignment horizontal="left" vertical="center"/>
    </xf>
    <xf numFmtId="0" fontId="68" fillId="6" borderId="0" xfId="0" applyFont="1" applyFill="1" applyBorder="1"/>
    <xf numFmtId="0" fontId="68" fillId="0" borderId="30" xfId="0" applyFont="1" applyBorder="1" applyAlignment="1">
      <alignment horizontal="left" vertical="top"/>
    </xf>
    <xf numFmtId="0" fontId="68" fillId="6" borderId="30" xfId="0" applyFont="1" applyFill="1" applyBorder="1" applyAlignment="1">
      <alignment horizontal="left" vertical="top"/>
    </xf>
    <xf numFmtId="0" fontId="59" fillId="6" borderId="0" xfId="0" applyFont="1" applyFill="1" applyAlignment="1">
      <alignment horizontal="left" vertical="center"/>
    </xf>
    <xf numFmtId="0" fontId="66" fillId="6" borderId="0" xfId="0" applyFont="1" applyFill="1" applyAlignment="1" applyProtection="1">
      <alignment horizontal="right"/>
      <protection hidden="1"/>
    </xf>
    <xf numFmtId="0" fontId="89" fillId="6" borderId="0" xfId="0" applyFont="1" applyFill="1" applyBorder="1"/>
    <xf numFmtId="0" fontId="59" fillId="0" borderId="30" xfId="0" applyFont="1" applyBorder="1" applyAlignment="1">
      <alignment horizontal="left" vertical="top"/>
    </xf>
    <xf numFmtId="0" fontId="59" fillId="6" borderId="30" xfId="0" applyFont="1" applyFill="1" applyBorder="1" applyAlignment="1">
      <alignment horizontal="left" vertical="top"/>
    </xf>
    <xf numFmtId="0" fontId="0" fillId="6" borderId="128" xfId="0" applyFill="1" applyBorder="1"/>
    <xf numFmtId="0" fontId="59" fillId="6" borderId="128" xfId="0" applyFont="1" applyFill="1" applyBorder="1"/>
    <xf numFmtId="0" fontId="59" fillId="6" borderId="128" xfId="0" applyFont="1" applyFill="1" applyBorder="1" applyProtection="1">
      <protection hidden="1"/>
    </xf>
    <xf numFmtId="0" fontId="0" fillId="6" borderId="128" xfId="0" applyFill="1" applyBorder="1" applyProtection="1">
      <protection hidden="1"/>
    </xf>
    <xf numFmtId="0" fontId="85" fillId="6" borderId="0" xfId="0" applyFont="1" applyFill="1"/>
    <xf numFmtId="0" fontId="4" fillId="6" borderId="0" xfId="1" applyFont="1" applyFill="1" applyBorder="1" applyAlignment="1" applyProtection="1">
      <alignment horizontal="left" vertical="center"/>
      <protection locked="0" hidden="1"/>
    </xf>
    <xf numFmtId="0" fontId="4" fillId="6" borderId="0" xfId="1" applyFont="1" applyFill="1" applyBorder="1" applyAlignment="1" applyProtection="1">
      <alignment horizontal="left" vertical="center" wrapText="1"/>
      <protection locked="0" hidden="1"/>
    </xf>
    <xf numFmtId="0" fontId="4" fillId="6" borderId="13" xfId="1" applyFont="1" applyFill="1" applyBorder="1" applyAlignment="1" applyProtection="1">
      <alignment horizontal="left" vertical="center" wrapText="1"/>
      <protection locked="0" hidden="1"/>
    </xf>
    <xf numFmtId="0" fontId="17" fillId="6" borderId="0" xfId="3" applyFill="1" applyProtection="1">
      <protection hidden="1"/>
    </xf>
    <xf numFmtId="49" fontId="4" fillId="6" borderId="0" xfId="0" applyNumberFormat="1" applyFont="1" applyFill="1" applyAlignment="1" applyProtection="1">
      <alignment horizontal="left" vertical="top"/>
      <protection hidden="1"/>
    </xf>
    <xf numFmtId="49" fontId="59" fillId="6" borderId="0" xfId="0" applyNumberFormat="1" applyFont="1" applyFill="1" applyProtection="1">
      <protection hidden="1"/>
    </xf>
    <xf numFmtId="49" fontId="2" fillId="6" borderId="0" xfId="2" applyNumberFormat="1" applyFont="1" applyFill="1"/>
    <xf numFmtId="49" fontId="59" fillId="6" borderId="0" xfId="0" applyNumberFormat="1" applyFont="1" applyFill="1" applyAlignment="1" applyProtection="1">
      <alignment horizontal="left" vertical="top" wrapText="1"/>
      <protection hidden="1"/>
    </xf>
    <xf numFmtId="49" fontId="59" fillId="6" borderId="0" xfId="0" applyNumberFormat="1" applyFont="1" applyFill="1" applyAlignment="1" applyProtection="1">
      <alignment horizontal="left" vertical="top"/>
      <protection hidden="1"/>
    </xf>
    <xf numFmtId="49" fontId="2" fillId="6" borderId="0" xfId="2" applyNumberFormat="1" applyFont="1" applyFill="1" applyAlignment="1">
      <alignment horizontal="left" vertical="top"/>
    </xf>
    <xf numFmtId="0" fontId="2" fillId="6" borderId="0" xfId="0" applyFont="1" applyFill="1" applyBorder="1" applyAlignment="1" applyProtection="1">
      <alignment horizontal="left" vertical="top"/>
      <protection hidden="1"/>
    </xf>
    <xf numFmtId="0" fontId="59" fillId="6" borderId="0" xfId="0" applyFont="1" applyFill="1" applyAlignment="1" applyProtection="1">
      <alignment horizontal="left" vertical="top"/>
      <protection hidden="1"/>
    </xf>
    <xf numFmtId="0" fontId="17" fillId="6" borderId="0" xfId="2" applyFill="1" applyAlignment="1">
      <alignment horizontal="left" vertical="top"/>
    </xf>
    <xf numFmtId="0" fontId="2" fillId="6" borderId="0" xfId="2" applyFont="1" applyFill="1" applyAlignment="1">
      <alignment horizontal="left" vertical="top"/>
    </xf>
    <xf numFmtId="49" fontId="59" fillId="6" borderId="0" xfId="0" applyNumberFormat="1" applyFont="1" applyFill="1" applyAlignment="1" applyProtection="1">
      <alignment vertical="top"/>
      <protection hidden="1"/>
    </xf>
    <xf numFmtId="49" fontId="59" fillId="6" borderId="0" xfId="0" applyNumberFormat="1" applyFont="1" applyFill="1" applyAlignment="1" applyProtection="1">
      <alignment vertical="top" wrapText="1"/>
      <protection hidden="1"/>
    </xf>
    <xf numFmtId="0" fontId="2" fillId="6" borderId="0" xfId="0" applyFont="1" applyFill="1" applyBorder="1" applyAlignment="1" applyProtection="1">
      <alignment vertical="top"/>
      <protection hidden="1"/>
    </xf>
    <xf numFmtId="49" fontId="2" fillId="6" borderId="0" xfId="0" applyNumberFormat="1" applyFont="1" applyFill="1" applyAlignment="1" applyProtection="1">
      <alignment horizontal="left" vertical="top"/>
      <protection hidden="1"/>
    </xf>
    <xf numFmtId="0" fontId="90" fillId="6" borderId="13" xfId="3" applyFont="1" applyFill="1" applyBorder="1" applyAlignment="1" applyProtection="1">
      <alignment horizontal="center" vertical="top" wrapText="1"/>
      <protection hidden="1"/>
    </xf>
    <xf numFmtId="0" fontId="90" fillId="6" borderId="13" xfId="3" applyFont="1" applyFill="1" applyBorder="1" applyAlignment="1" applyProtection="1">
      <alignment horizontal="left" vertical="top" wrapText="1"/>
      <protection hidden="1"/>
    </xf>
    <xf numFmtId="0" fontId="90" fillId="6" borderId="13" xfId="3" applyFont="1" applyFill="1" applyBorder="1" applyAlignment="1" applyProtection="1">
      <alignment horizontal="left" vertical="top"/>
      <protection hidden="1"/>
    </xf>
    <xf numFmtId="0" fontId="91" fillId="6" borderId="0" xfId="0" applyFont="1" applyFill="1" applyAlignment="1">
      <alignment horizontal="justify" vertical="center"/>
    </xf>
    <xf numFmtId="0" fontId="92" fillId="6" borderId="0" xfId="0" applyFont="1" applyFill="1" applyAlignment="1">
      <alignment horizontal="justify" vertical="center"/>
    </xf>
    <xf numFmtId="0" fontId="2" fillId="6" borderId="0" xfId="0" applyFont="1" applyFill="1" applyAlignment="1">
      <alignment horizontal="justify" vertical="center"/>
    </xf>
    <xf numFmtId="0" fontId="93" fillId="0" borderId="0" xfId="0" applyFont="1" applyAlignment="1">
      <alignment horizontal="justify" vertical="center"/>
    </xf>
    <xf numFmtId="0" fontId="62" fillId="6" borderId="8" xfId="0" applyFont="1" applyFill="1" applyBorder="1" applyAlignment="1" applyProtection="1">
      <alignment horizontal="center" vertical="top" wrapText="1"/>
      <protection locked="0" hidden="1"/>
    </xf>
    <xf numFmtId="0" fontId="62" fillId="6" borderId="11" xfId="0" applyFont="1" applyFill="1" applyBorder="1" applyAlignment="1" applyProtection="1">
      <alignment horizontal="center" vertical="top" wrapText="1"/>
      <protection locked="0" hidden="1"/>
    </xf>
    <xf numFmtId="0" fontId="62" fillId="6" borderId="117" xfId="0" applyFont="1" applyFill="1" applyBorder="1" applyAlignment="1" applyProtection="1">
      <alignment horizontal="center" vertical="top" wrapText="1"/>
      <protection locked="0" hidden="1"/>
    </xf>
    <xf numFmtId="0" fontId="62" fillId="6" borderId="118" xfId="0" applyFont="1" applyFill="1" applyBorder="1" applyAlignment="1" applyProtection="1">
      <alignment horizontal="center" vertical="top" wrapText="1"/>
      <protection locked="0" hidden="1"/>
    </xf>
    <xf numFmtId="0" fontId="62" fillId="6" borderId="34" xfId="0" applyFont="1" applyFill="1" applyBorder="1" applyAlignment="1" applyProtection="1">
      <alignment horizontal="center"/>
      <protection locked="0" hidden="1"/>
    </xf>
    <xf numFmtId="0" fontId="62" fillId="6" borderId="61" xfId="0" applyFont="1" applyFill="1" applyBorder="1" applyAlignment="1" applyProtection="1">
      <alignment horizontal="center"/>
      <protection locked="0" hidden="1"/>
    </xf>
    <xf numFmtId="0" fontId="83" fillId="10" borderId="0" xfId="1" applyFont="1" applyFill="1" applyAlignment="1" applyProtection="1">
      <alignment horizontal="center" vertical="center"/>
      <protection locked="0" hidden="1"/>
    </xf>
    <xf numFmtId="0" fontId="59" fillId="6" borderId="90" xfId="0" applyFont="1" applyFill="1" applyBorder="1" applyAlignment="1" applyProtection="1">
      <alignment horizontal="left" vertical="center" wrapText="1"/>
      <protection locked="0" hidden="1"/>
    </xf>
    <xf numFmtId="0" fontId="59" fillId="6" borderId="97" xfId="0" applyFont="1" applyFill="1" applyBorder="1" applyAlignment="1" applyProtection="1">
      <alignment horizontal="left" vertical="center" wrapText="1"/>
      <protection locked="0" hidden="1"/>
    </xf>
    <xf numFmtId="0" fontId="62" fillId="6" borderId="52" xfId="0" applyFont="1" applyFill="1" applyBorder="1" applyAlignment="1" applyProtection="1">
      <alignment horizontal="left" vertical="center" wrapText="1"/>
      <protection locked="0" hidden="1"/>
    </xf>
    <xf numFmtId="0" fontId="62" fillId="6" borderId="60" xfId="0" applyFont="1" applyFill="1" applyBorder="1" applyAlignment="1" applyProtection="1">
      <alignment horizontal="left" vertical="center" wrapText="1"/>
      <protection locked="0" hidden="1"/>
    </xf>
    <xf numFmtId="0" fontId="59" fillId="6" borderId="54" xfId="0" applyFont="1" applyFill="1" applyBorder="1" applyAlignment="1" applyProtection="1">
      <alignment horizontal="left" vertical="center" wrapText="1"/>
      <protection locked="0" hidden="1"/>
    </xf>
    <xf numFmtId="0" fontId="59" fillId="6" borderId="92" xfId="0" applyFont="1" applyFill="1" applyBorder="1" applyAlignment="1" applyProtection="1">
      <alignment horizontal="left" vertical="center" wrapText="1"/>
      <protection locked="0" hidden="1"/>
    </xf>
    <xf numFmtId="0" fontId="62" fillId="6" borderId="54" xfId="0" applyFont="1" applyFill="1" applyBorder="1" applyAlignment="1" applyProtection="1">
      <alignment horizontal="left" vertical="center" wrapText="1"/>
      <protection locked="0" hidden="1"/>
    </xf>
    <xf numFmtId="0" fontId="62" fillId="6" borderId="92" xfId="0" applyFont="1" applyFill="1" applyBorder="1" applyAlignment="1" applyProtection="1">
      <alignment horizontal="left" vertical="center" wrapText="1"/>
      <protection locked="0" hidden="1"/>
    </xf>
    <xf numFmtId="0" fontId="23" fillId="5" borderId="0" xfId="0" applyFont="1" applyFill="1" applyAlignment="1" applyProtection="1">
      <alignment horizontal="left" vertical="center"/>
      <protection hidden="1"/>
    </xf>
    <xf numFmtId="0" fontId="62" fillId="6" borderId="51" xfId="0" applyFont="1" applyFill="1" applyBorder="1" applyAlignment="1" applyProtection="1">
      <alignment horizontal="center"/>
      <protection locked="0" hidden="1"/>
    </xf>
    <xf numFmtId="0" fontId="25" fillId="6" borderId="0" xfId="0" applyFont="1" applyFill="1" applyAlignment="1" applyProtection="1">
      <alignment horizontal="left" vertical="center"/>
      <protection hidden="1"/>
    </xf>
    <xf numFmtId="0" fontId="62" fillId="6" borderId="119" xfId="0" applyFont="1" applyFill="1" applyBorder="1" applyAlignment="1" applyProtection="1">
      <alignment horizontal="center" vertical="top" wrapText="1"/>
      <protection locked="0" hidden="1"/>
    </xf>
    <xf numFmtId="0" fontId="62" fillId="6" borderId="16" xfId="0" applyFont="1" applyFill="1" applyBorder="1" applyAlignment="1" applyProtection="1">
      <alignment horizontal="center" vertical="top" wrapText="1"/>
      <protection locked="0" hidden="1"/>
    </xf>
    <xf numFmtId="0" fontId="62" fillId="6" borderId="120" xfId="0" applyFont="1" applyFill="1" applyBorder="1" applyAlignment="1" applyProtection="1">
      <alignment horizontal="center" vertical="top" wrapText="1"/>
      <protection locked="0" hidden="1"/>
    </xf>
    <xf numFmtId="0" fontId="59" fillId="6" borderId="0" xfId="0" applyFont="1" applyFill="1" applyAlignment="1">
      <alignment horizontal="left" vertical="center"/>
    </xf>
    <xf numFmtId="0" fontId="59" fillId="6" borderId="121" xfId="0" applyFont="1" applyFill="1" applyBorder="1" applyAlignment="1" applyProtection="1">
      <alignment horizontal="left" vertical="center" wrapText="1"/>
      <protection locked="0" hidden="1"/>
    </xf>
    <xf numFmtId="0" fontId="59" fillId="6" borderId="122" xfId="0" applyFont="1" applyFill="1" applyBorder="1" applyAlignment="1" applyProtection="1">
      <alignment horizontal="left" vertical="center" wrapText="1"/>
      <protection locked="0" hidden="1"/>
    </xf>
    <xf numFmtId="0" fontId="62" fillId="6" borderId="123" xfId="0" applyFont="1" applyFill="1" applyBorder="1" applyAlignment="1" applyProtection="1">
      <alignment horizontal="left" vertical="center" wrapText="1"/>
      <protection locked="0" hidden="1"/>
    </xf>
    <xf numFmtId="0" fontId="62" fillId="6" borderId="124" xfId="0" applyFont="1" applyFill="1" applyBorder="1" applyAlignment="1" applyProtection="1">
      <alignment horizontal="left" vertical="center" wrapText="1"/>
      <protection locked="0" hidden="1"/>
    </xf>
    <xf numFmtId="0" fontId="62" fillId="6" borderId="54" xfId="0" applyFont="1" applyFill="1" applyBorder="1" applyAlignment="1" applyProtection="1">
      <alignment vertical="center" wrapText="1"/>
      <protection locked="0" hidden="1"/>
    </xf>
    <xf numFmtId="0" fontId="62" fillId="6" borderId="92" xfId="0" applyFont="1" applyFill="1" applyBorder="1" applyAlignment="1" applyProtection="1">
      <alignment vertical="center" wrapText="1"/>
      <protection locked="0" hidden="1"/>
    </xf>
    <xf numFmtId="0" fontId="59" fillId="6" borderId="121" xfId="0" applyFont="1" applyFill="1" applyBorder="1" applyAlignment="1" applyProtection="1">
      <alignment vertical="center" wrapText="1"/>
      <protection locked="0" hidden="1"/>
    </xf>
    <xf numFmtId="0" fontId="59" fillId="6" borderId="122" xfId="0" applyFont="1" applyFill="1" applyBorder="1" applyAlignment="1" applyProtection="1">
      <alignment vertical="center" wrapText="1"/>
      <protection locked="0" hidden="1"/>
    </xf>
    <xf numFmtId="0" fontId="62" fillId="6" borderId="123" xfId="0" applyFont="1" applyFill="1" applyBorder="1" applyAlignment="1" applyProtection="1">
      <alignment vertical="center" wrapText="1"/>
      <protection locked="0" hidden="1"/>
    </xf>
    <xf numFmtId="0" fontId="62" fillId="6" borderId="124" xfId="0" applyFont="1" applyFill="1" applyBorder="1" applyAlignment="1" applyProtection="1">
      <alignment vertical="center" wrapText="1"/>
      <protection locked="0" hidden="1"/>
    </xf>
    <xf numFmtId="0" fontId="62" fillId="6" borderId="52" xfId="0" applyFont="1" applyFill="1" applyBorder="1" applyAlignment="1" applyProtection="1">
      <alignment vertical="center" wrapText="1"/>
      <protection locked="0" hidden="1"/>
    </xf>
    <xf numFmtId="0" fontId="62" fillId="6" borderId="60" xfId="0" applyFont="1" applyFill="1" applyBorder="1" applyAlignment="1" applyProtection="1">
      <alignment vertical="center" wrapText="1"/>
      <protection locked="0" hidden="1"/>
    </xf>
    <xf numFmtId="0" fontId="59" fillId="6" borderId="54" xfId="0" applyFont="1" applyFill="1" applyBorder="1" applyAlignment="1" applyProtection="1">
      <alignment vertical="center" wrapText="1"/>
      <protection locked="0" hidden="1"/>
    </xf>
    <xf numFmtId="0" fontId="59" fillId="6" borderId="92" xfId="0" applyFont="1" applyFill="1" applyBorder="1" applyAlignment="1" applyProtection="1">
      <alignment vertical="center" wrapText="1"/>
      <protection locked="0" hidden="1"/>
    </xf>
    <xf numFmtId="0" fontId="59" fillId="6" borderId="90" xfId="0" applyFont="1" applyFill="1" applyBorder="1" applyAlignment="1" applyProtection="1">
      <alignment vertical="center" wrapText="1"/>
      <protection locked="0" hidden="1"/>
    </xf>
    <xf numFmtId="0" fontId="59" fillId="6" borderId="97" xfId="0" applyFont="1" applyFill="1" applyBorder="1" applyAlignment="1" applyProtection="1">
      <alignment vertical="center" wrapText="1"/>
      <protection locked="0" hidden="1"/>
    </xf>
    <xf numFmtId="0" fontId="62" fillId="6" borderId="45" xfId="0" applyFont="1" applyFill="1" applyBorder="1" applyAlignment="1" applyProtection="1">
      <alignment horizontal="center"/>
      <protection locked="0" hidden="1"/>
    </xf>
    <xf numFmtId="0" fontId="62" fillId="6" borderId="46" xfId="0" applyFont="1" applyFill="1" applyBorder="1" applyAlignment="1" applyProtection="1">
      <alignment horizontal="center"/>
      <protection locked="0" hidden="1"/>
    </xf>
    <xf numFmtId="0" fontId="62" fillId="6" borderId="34" xfId="0" applyFont="1" applyFill="1" applyBorder="1" applyAlignment="1" applyProtection="1">
      <alignment horizontal="center" vertical="top"/>
      <protection locked="0" hidden="1"/>
    </xf>
    <xf numFmtId="0" fontId="62" fillId="6" borderId="61" xfId="0" applyFont="1" applyFill="1" applyBorder="1" applyAlignment="1" applyProtection="1">
      <alignment horizontal="center" vertical="top"/>
      <protection locked="0" hidden="1"/>
    </xf>
    <xf numFmtId="0" fontId="62" fillId="6" borderId="10" xfId="0" applyFont="1" applyFill="1" applyBorder="1" applyAlignment="1" applyProtection="1">
      <alignment horizontal="center" vertical="top" wrapText="1"/>
      <protection locked="0" hidden="1"/>
    </xf>
    <xf numFmtId="0" fontId="17" fillId="6" borderId="11" xfId="2" applyFill="1" applyBorder="1" applyAlignment="1">
      <alignment horizontal="center"/>
    </xf>
    <xf numFmtId="0" fontId="59" fillId="6" borderId="42" xfId="0" applyFont="1" applyFill="1" applyBorder="1" applyAlignment="1" applyProtection="1">
      <alignment horizontal="center" vertical="center" wrapText="1"/>
      <protection locked="0" hidden="1"/>
    </xf>
    <xf numFmtId="0" fontId="59" fillId="6" borderId="30" xfId="0" applyFont="1" applyFill="1" applyBorder="1" applyAlignment="1" applyProtection="1">
      <alignment horizontal="center" vertical="center" wrapText="1"/>
      <protection locked="0" hidden="1"/>
    </xf>
    <xf numFmtId="0" fontId="59" fillId="6" borderId="77" xfId="0" applyFont="1" applyFill="1" applyBorder="1" applyAlignment="1" applyProtection="1">
      <alignment horizontal="center" vertical="center" wrapText="1"/>
      <protection locked="0" hidden="1"/>
    </xf>
    <xf numFmtId="0" fontId="59" fillId="6" borderId="91" xfId="0" applyFont="1" applyFill="1" applyBorder="1" applyAlignment="1" applyProtection="1">
      <alignment horizontal="center" vertical="center" wrapText="1"/>
      <protection locked="0" hidden="1"/>
    </xf>
    <xf numFmtId="164" fontId="59" fillId="6" borderId="30" xfId="0" applyNumberFormat="1" applyFont="1" applyFill="1" applyBorder="1" applyAlignment="1" applyProtection="1">
      <alignment horizontal="center" vertical="center" wrapText="1"/>
      <protection locked="0" hidden="1"/>
    </xf>
    <xf numFmtId="0" fontId="59" fillId="6" borderId="57" xfId="0" applyFont="1" applyFill="1" applyBorder="1" applyAlignment="1" applyProtection="1">
      <alignment horizontal="center" vertical="center" wrapText="1"/>
      <protection locked="0" hidden="1"/>
    </xf>
    <xf numFmtId="164" fontId="59" fillId="6" borderId="57" xfId="0" applyNumberFormat="1" applyFont="1" applyFill="1" applyBorder="1" applyAlignment="1" applyProtection="1">
      <alignment horizontal="center" vertical="center" wrapText="1"/>
      <protection locked="0" hidden="1"/>
    </xf>
    <xf numFmtId="164" fontId="59" fillId="6" borderId="91" xfId="0" applyNumberFormat="1" applyFont="1" applyFill="1" applyBorder="1" applyAlignment="1" applyProtection="1">
      <alignment horizontal="center" vertical="center" wrapText="1"/>
      <protection locked="0" hidden="1"/>
    </xf>
    <xf numFmtId="164" fontId="59" fillId="6" borderId="63" xfId="0" applyNumberFormat="1" applyFont="1" applyFill="1" applyBorder="1" applyAlignment="1" applyProtection="1">
      <alignment horizontal="center" vertical="center" wrapText="1"/>
      <protection locked="0" hidden="1"/>
    </xf>
    <xf numFmtId="164" fontId="2" fillId="6" borderId="79" xfId="0" applyNumberFormat="1" applyFont="1" applyFill="1" applyBorder="1" applyAlignment="1" applyProtection="1">
      <alignment horizontal="center" vertical="center" wrapText="1"/>
      <protection locked="0" hidden="1"/>
    </xf>
    <xf numFmtId="164" fontId="2" fillId="6" borderId="80" xfId="0" applyNumberFormat="1" applyFont="1" applyFill="1" applyBorder="1" applyAlignment="1" applyProtection="1">
      <alignment horizontal="center" vertical="center" wrapText="1"/>
      <protection locked="0" hidden="1"/>
    </xf>
    <xf numFmtId="164" fontId="2" fillId="6" borderId="81" xfId="0" applyNumberFormat="1" applyFont="1" applyFill="1" applyBorder="1" applyAlignment="1" applyProtection="1">
      <alignment horizontal="center" vertical="center" wrapText="1"/>
      <protection locked="0" hidden="1"/>
    </xf>
    <xf numFmtId="0" fontId="23" fillId="5" borderId="0" xfId="2" applyFont="1" applyFill="1" applyAlignment="1" applyProtection="1">
      <alignment horizontal="left" vertical="center"/>
      <protection hidden="1"/>
    </xf>
    <xf numFmtId="0" fontId="17" fillId="6" borderId="20" xfId="2" applyFill="1" applyBorder="1" applyAlignment="1" applyProtection="1">
      <alignment horizontal="center" vertical="center"/>
      <protection hidden="1"/>
    </xf>
    <xf numFmtId="0" fontId="17" fillId="6" borderId="22" xfId="2" applyFill="1" applyBorder="1" applyAlignment="1" applyProtection="1">
      <alignment horizontal="center" vertical="center"/>
      <protection hidden="1"/>
    </xf>
    <xf numFmtId="0" fontId="17" fillId="6" borderId="21" xfId="2" applyFill="1" applyBorder="1" applyAlignment="1" applyProtection="1">
      <alignment horizontal="center" vertical="center"/>
      <protection hidden="1"/>
    </xf>
    <xf numFmtId="2" fontId="2" fillId="6" borderId="79" xfId="0" applyNumberFormat="1" applyFont="1" applyFill="1" applyBorder="1" applyAlignment="1" applyProtection="1">
      <alignment horizontal="center" vertical="center" wrapText="1"/>
      <protection locked="0" hidden="1"/>
    </xf>
    <xf numFmtId="0" fontId="2" fillId="6" borderId="80" xfId="0" applyFont="1" applyFill="1" applyBorder="1" applyAlignment="1" applyProtection="1">
      <alignment horizontal="center" vertical="center" wrapText="1"/>
      <protection locked="0" hidden="1"/>
    </xf>
    <xf numFmtId="0" fontId="2" fillId="6" borderId="81" xfId="0" applyFont="1" applyFill="1" applyBorder="1" applyAlignment="1" applyProtection="1">
      <alignment horizontal="center" vertical="center" wrapText="1"/>
      <protection locked="0" hidden="1"/>
    </xf>
    <xf numFmtId="0" fontId="84" fillId="6" borderId="30" xfId="0" applyFont="1" applyFill="1" applyBorder="1" applyAlignment="1" applyProtection="1">
      <alignment horizontal="left" vertical="center" wrapText="1"/>
      <protection locked="0" hidden="1"/>
    </xf>
    <xf numFmtId="0" fontId="0" fillId="6" borderId="0" xfId="0" applyFill="1" applyAlignment="1">
      <alignment horizontal="left" vertical="center"/>
    </xf>
    <xf numFmtId="164" fontId="4" fillId="6" borderId="40" xfId="2" applyNumberFormat="1" applyFont="1" applyFill="1" applyBorder="1" applyAlignment="1" applyProtection="1">
      <alignment horizontal="center" vertical="center" wrapText="1"/>
      <protection locked="0" hidden="1"/>
    </xf>
    <xf numFmtId="164" fontId="4" fillId="6" borderId="41" xfId="2" applyNumberFormat="1" applyFont="1" applyFill="1" applyBorder="1" applyAlignment="1" applyProtection="1">
      <alignment horizontal="center" vertical="center" wrapText="1"/>
      <protection locked="0" hidden="1"/>
    </xf>
    <xf numFmtId="164" fontId="4" fillId="6" borderId="80" xfId="2" applyNumberFormat="1" applyFont="1" applyFill="1" applyBorder="1" applyAlignment="1" applyProtection="1">
      <alignment horizontal="center" vertical="center" wrapText="1"/>
      <protection locked="0" hidden="1"/>
    </xf>
    <xf numFmtId="0" fontId="39" fillId="4" borderId="0" xfId="2" applyFont="1" applyFill="1" applyAlignment="1" applyProtection="1">
      <alignment horizontal="center" vertical="center"/>
      <protection hidden="1"/>
    </xf>
    <xf numFmtId="2" fontId="2" fillId="6" borderId="0" xfId="2" applyNumberFormat="1" applyFont="1" applyFill="1" applyBorder="1" applyAlignment="1" applyProtection="1">
      <alignment horizontal="center" vertical="center" wrapText="1"/>
      <protection hidden="1"/>
    </xf>
    <xf numFmtId="0" fontId="84" fillId="6" borderId="42" xfId="0" applyFont="1" applyFill="1" applyBorder="1" applyAlignment="1" applyProtection="1">
      <alignment horizontal="left" vertical="center" wrapText="1"/>
      <protection locked="0" hidden="1"/>
    </xf>
  </cellXfs>
  <cellStyles count="5">
    <cellStyle name="Гиперссылка" xfId="1" builtinId="8"/>
    <cellStyle name="Обычный" xfId="0" builtinId="0"/>
    <cellStyle name="Обычный 2" xfId="2"/>
    <cellStyle name="Обычный 2 2" xfId="3"/>
    <cellStyle name="Обычный 3" xfId="4"/>
  </cellStyles>
  <dxfs count="0"/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'РС междуфазное'!$AD$69</c:f>
          <c:strCache>
            <c:ptCount val="1"/>
            <c:pt idx="0">
              <c:v>Характеристика РС.
Уставки РС:
   - Xуст = 4 Ом,
   - Rуст = 2 Ом,
   - fi_1 = 70°,
   - fi_2 = -20°,
   - fi_3 = 115°,
   - fi_4 = -15°,
   - Rнагр = 1 Ом,
   - fi_нагр = 15°.</c:v>
            </c:pt>
          </c:strCache>
        </c:strRef>
      </c:tx>
      <c:layout>
        <c:manualLayout>
          <c:xMode val="edge"/>
          <c:yMode val="edge"/>
          <c:x val="0.82280745841725955"/>
          <c:y val="3.4701498089766344E-2"/>
        </c:manualLayout>
      </c:layout>
      <c:overlay val="0"/>
      <c:txPr>
        <a:bodyPr/>
        <a:lstStyle/>
        <a:p>
          <a:pPr algn="l">
            <a:defRPr sz="1200" b="1">
              <a:latin typeface="Arial" pitchFamily="34" charset="0"/>
              <a:cs typeface="Arial" pitchFamily="34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3.9404720018112099E-2"/>
          <c:y val="4.5396851591241655E-2"/>
          <c:w val="0.68502148114235395"/>
          <c:h val="0.91901024834707778"/>
        </c:manualLayout>
      </c:layout>
      <c:scatterChart>
        <c:scatterStyle val="lineMarker"/>
        <c:varyColors val="0"/>
        <c:ser>
          <c:idx val="0"/>
          <c:order val="0"/>
          <c:tx>
            <c:strRef>
              <c:f>'РС междуфазное'!$V$46</c:f>
              <c:strCache>
                <c:ptCount val="1"/>
                <c:pt idx="0">
                  <c:v>Характеристика РС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'РС междуфазное'!$W$48:$AG$48</c:f>
              <c:numCache>
                <c:formatCode>0.000</c:formatCode>
                <c:ptCount val="11"/>
                <c:pt idx="0">
                  <c:v>0</c:v>
                </c:pt>
                <c:pt idx="1">
                  <c:v>1.7660444431189779</c:v>
                </c:pt>
                <c:pt idx="2">
                  <c:v>1.8222810720214766</c:v>
                </c:pt>
                <c:pt idx="3">
                  <c:v>1</c:v>
                </c:pt>
                <c:pt idx="4">
                  <c:v>1</c:v>
                </c:pt>
                <c:pt idx="5">
                  <c:v>2.2161291728892936</c:v>
                </c:pt>
                <c:pt idx="6">
                  <c:v>3.261454315515766</c:v>
                </c:pt>
                <c:pt idx="7">
                  <c:v>1.2678571428571432</c:v>
                </c:pt>
                <c:pt idx="8">
                  <c:v>-0.54411906293519019</c:v>
                </c:pt>
                <c:pt idx="9">
                  <c:v>-1.1232568334324384</c:v>
                </c:pt>
                <c:pt idx="10">
                  <c:v>0</c:v>
                </c:pt>
              </c:numCache>
            </c:numRef>
          </c:xVal>
          <c:yVal>
            <c:numRef>
              <c:f>'РС междуфазное'!$W$49:$AG$49</c:f>
              <c:numCache>
                <c:formatCode>0.000</c:formatCode>
                <c:ptCount val="11"/>
                <c:pt idx="0">
                  <c:v>0</c:v>
                </c:pt>
                <c:pt idx="1">
                  <c:v>-0.64278760968653925</c:v>
                </c:pt>
                <c:pt idx="2">
                  <c:v>-0.48827874163067519</c:v>
                </c:pt>
                <c:pt idx="3">
                  <c:v>-0.2679491924311227</c:v>
                </c:pt>
                <c:pt idx="4">
                  <c:v>0.2679491924311227</c:v>
                </c:pt>
                <c:pt idx="5">
                  <c:v>0.59381002219873813</c:v>
                </c:pt>
                <c:pt idx="6">
                  <c:v>3.465817247553153</c:v>
                </c:pt>
                <c:pt idx="7">
                  <c:v>4</c:v>
                </c:pt>
                <c:pt idx="8">
                  <c:v>4</c:v>
                </c:pt>
                <c:pt idx="9">
                  <c:v>2.4088320528055176</c:v>
                </c:pt>
                <c:pt idx="10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'РС междуфазное'!$V$55</c:f>
              <c:strCache>
                <c:ptCount val="1"/>
                <c:pt idx="0">
                  <c:v>Контрольные точки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</c:marker>
          <c:xVal>
            <c:numRef>
              <c:f>'РС междуфазное'!$W$57:$AE$57</c:f>
              <c:numCache>
                <c:formatCode>0.000</c:formatCode>
                <c:ptCount val="9"/>
                <c:pt idx="0">
                  <c:v>1.5035081932574537</c:v>
                </c:pt>
                <c:pt idx="1">
                  <c:v>1</c:v>
                </c:pt>
                <c:pt idx="2">
                  <c:v>1.8352590699492297</c:v>
                </c:pt>
                <c:pt idx="3">
                  <c:v>2.2682451634636815</c:v>
                </c:pt>
                <c:pt idx="4">
                  <c:v>3.0506891802054921</c:v>
                </c:pt>
                <c:pt idx="5">
                  <c:v>3.0597669369758913</c:v>
                </c:pt>
                <c:pt idx="6">
                  <c:v>1.368065041371098</c:v>
                </c:pt>
                <c:pt idx="7">
                  <c:v>0</c:v>
                </c:pt>
                <c:pt idx="8">
                  <c:v>-0.97202200200360833</c:v>
                </c:pt>
              </c:numCache>
            </c:numRef>
          </c:xVal>
          <c:yVal>
            <c:numRef>
              <c:f>'РС междуфазное'!$W$58:$AE$58</c:f>
              <c:numCache>
                <c:formatCode>0.000</c:formatCode>
                <c:ptCount val="9"/>
                <c:pt idx="0">
                  <c:v>-0.54723222932107007</c:v>
                </c:pt>
                <c:pt idx="1">
                  <c:v>0</c:v>
                </c:pt>
                <c:pt idx="2">
                  <c:v>0.49175618569478941</c:v>
                </c:pt>
                <c:pt idx="3">
                  <c:v>0.73699752949437825</c:v>
                </c:pt>
                <c:pt idx="4">
                  <c:v>2.8867447974798774</c:v>
                </c:pt>
                <c:pt idx="5">
                  <c:v>3.519859217756462</c:v>
                </c:pt>
                <c:pt idx="6">
                  <c:v>3.9731493745179658</c:v>
                </c:pt>
                <c:pt idx="7">
                  <c:v>4</c:v>
                </c:pt>
                <c:pt idx="8">
                  <c:v>2.0845079101842949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'РС междуфазное'!$V$16</c:f>
              <c:strCache>
                <c:ptCount val="1"/>
                <c:pt idx="0">
                  <c:v>Проверочная точка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8"/>
            <c:spPr>
              <a:solidFill>
                <a:srgbClr val="FF0000"/>
              </a:solidFill>
              <a:ln w="12700">
                <a:noFill/>
              </a:ln>
            </c:spPr>
          </c:marker>
          <c:xVal>
            <c:numRef>
              <c:f>'РС междуфазное'!$Y$26</c:f>
              <c:numCache>
                <c:formatCode>0.000</c:formatCode>
                <c:ptCount val="1"/>
                <c:pt idx="0">
                  <c:v>1.5000000000000004</c:v>
                </c:pt>
              </c:numCache>
            </c:numRef>
          </c:xVal>
          <c:yVal>
            <c:numRef>
              <c:f>'РС междуфазное'!$Z$26</c:f>
              <c:numCache>
                <c:formatCode>0.000</c:formatCode>
                <c:ptCount val="1"/>
                <c:pt idx="0">
                  <c:v>2.598076211353316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620352"/>
        <c:axId val="141622272"/>
      </c:scatterChart>
      <c:valAx>
        <c:axId val="141620352"/>
        <c:scaling>
          <c:orientation val="minMax"/>
        </c:scaling>
        <c:delete val="0"/>
        <c:axPos val="b"/>
        <c:majorGridlines>
          <c:spPr>
            <a:ln w="9525"/>
          </c:spPr>
        </c:majorGridlines>
        <c:minorGridlines>
          <c:spPr>
            <a:ln w="6350">
              <a:prstDash val="dash"/>
            </a:ln>
          </c:spPr>
        </c:min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1622272"/>
        <c:crosses val="autoZero"/>
        <c:crossBetween val="midCat"/>
      </c:valAx>
      <c:valAx>
        <c:axId val="141622272"/>
        <c:scaling>
          <c:orientation val="minMax"/>
        </c:scaling>
        <c:delete val="0"/>
        <c:axPos val="l"/>
        <c:majorGridlines>
          <c:spPr>
            <a:ln w="9525"/>
          </c:spPr>
        </c:majorGridlines>
        <c:minorGridlines>
          <c:spPr>
            <a:ln w="6350">
              <a:prstDash val="sysDash"/>
            </a:ln>
          </c:spPr>
        </c:minorGridlines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ru-RU"/>
          </a:p>
        </c:txPr>
        <c:crossAx val="141620352"/>
        <c:crosses val="autoZero"/>
        <c:crossBetween val="midCat"/>
      </c:valAx>
      <c:spPr>
        <a:solidFill>
          <a:srgbClr val="FFFFFF"/>
        </a:solidFill>
      </c:spPr>
    </c:plotArea>
    <c:legend>
      <c:legendPos val="r"/>
      <c:layout>
        <c:manualLayout>
          <c:xMode val="edge"/>
          <c:yMode val="edge"/>
          <c:x val="0.7516942910708031"/>
          <c:y val="0.84160011742472418"/>
          <c:w val="0.2401905162418323"/>
          <c:h val="0.1078467080608090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'ИПФ, ИПФК'!$AF$53</c:f>
          <c:strCache>
            <c:ptCount val="1"/>
            <c:pt idx="0">
              <c:v>Характеристики уставок
рабочей области ИПФ.
Уставки ИПФ:
   - Rуст ипф = 3,545 Ом,
   - Xуст ипф = 3,927 Ом,
   - Xуст ипф1 = 0,393 Ом,
   - fi_1 = 72,41°,
   - fi_2 (ИПФ) = 115°,
   - Kr = 0,15,
   - Kx = 0,578.</c:v>
            </c:pt>
          </c:strCache>
        </c:strRef>
      </c:tx>
      <c:layout>
        <c:manualLayout>
          <c:xMode val="edge"/>
          <c:yMode val="edge"/>
          <c:x val="0.76344848023029377"/>
          <c:y val="3.0560078295297832E-2"/>
        </c:manualLayout>
      </c:layout>
      <c:overlay val="0"/>
      <c:spPr>
        <a:ln>
          <a:noFill/>
        </a:ln>
      </c:spPr>
      <c:txPr>
        <a:bodyPr anchor="t" anchorCtr="0"/>
        <a:lstStyle/>
        <a:p>
          <a:pPr algn="l">
            <a:defRPr sz="1200">
              <a:latin typeface="Arial" pitchFamily="34" charset="0"/>
              <a:cs typeface="Arial" pitchFamily="34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3.9404720018112099E-2"/>
          <c:y val="4.5396851591241655E-2"/>
          <c:w val="0.59790967564922204"/>
          <c:h val="0.91901024834707778"/>
        </c:manualLayout>
      </c:layout>
      <c:scatterChart>
        <c:scatterStyle val="lineMarker"/>
        <c:varyColors val="0"/>
        <c:ser>
          <c:idx val="0"/>
          <c:order val="0"/>
          <c:tx>
            <c:strRef>
              <c:f>'ИПФ, ИПФК'!$V$50</c:f>
              <c:strCache>
                <c:ptCount val="1"/>
                <c:pt idx="0">
                  <c:v>Характеристика ИПФ (Xуст ипф,Rуст ипф,fi_1)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'ИПФ, ИПФК'!$W$51:$AA$51</c:f>
              <c:numCache>
                <c:formatCode>0.000</c:formatCode>
                <c:ptCount val="5"/>
                <c:pt idx="0">
                  <c:v>-5.5088511707746477</c:v>
                </c:pt>
                <c:pt idx="1">
                  <c:v>-2.645647420774647</c:v>
                </c:pt>
                <c:pt idx="2">
                  <c:v>5.5088511707746477</c:v>
                </c:pt>
                <c:pt idx="3">
                  <c:v>2.645647420774647</c:v>
                </c:pt>
                <c:pt idx="4">
                  <c:v>-5.5088511707746477</c:v>
                </c:pt>
              </c:numCache>
            </c:numRef>
          </c:xVal>
          <c:yVal>
            <c:numRef>
              <c:f>'ИПФ, ИПФК'!$W$52:$AA$52</c:f>
              <c:numCache>
                <c:formatCode>0.000</c:formatCode>
                <c:ptCount val="5"/>
                <c:pt idx="0">
                  <c:v>-6.1964787499999998</c:v>
                </c:pt>
                <c:pt idx="1">
                  <c:v>6.1964787499999998</c:v>
                </c:pt>
                <c:pt idx="2">
                  <c:v>6.1964787499999998</c:v>
                </c:pt>
                <c:pt idx="3">
                  <c:v>-6.1964787499999998</c:v>
                </c:pt>
                <c:pt idx="4">
                  <c:v>-6.1964787499999998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'ИПФ, ИПФК'!$Z$54</c:f>
              <c:strCache>
                <c:ptCount val="1"/>
                <c:pt idx="0">
                  <c:v>Характеристика ИПФ (k*Xуст)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'ИПФ, ИПФК'!$AA$55:$AB$55</c:f>
              <c:numCache>
                <c:formatCode>0.000</c:formatCode>
                <c:ptCount val="2"/>
                <c:pt idx="0">
                  <c:v>-4.3</c:v>
                </c:pt>
                <c:pt idx="1">
                  <c:v>4.5999999999999996</c:v>
                </c:pt>
              </c:numCache>
            </c:numRef>
          </c:xVal>
          <c:yVal>
            <c:numRef>
              <c:f>'ИПФ, ИПФК'!$AA$56:$AB$56</c:f>
              <c:numCache>
                <c:formatCode>0.000</c:formatCode>
                <c:ptCount val="2"/>
                <c:pt idx="0">
                  <c:v>0.62012124999999996</c:v>
                </c:pt>
                <c:pt idx="1">
                  <c:v>0.62012124999999996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'ИПФ, ИПФК'!$AD$54</c:f>
              <c:strCache>
                <c:ptCount val="1"/>
                <c:pt idx="0">
                  <c:v>Характеристика ИПФ (fi_2)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'ИПФ, ИПФК'!$AE$55:$AF$55</c:f>
              <c:numCache>
                <c:formatCode>0.000</c:formatCode>
                <c:ptCount val="2"/>
                <c:pt idx="0">
                  <c:v>0</c:v>
                </c:pt>
                <c:pt idx="1">
                  <c:v>-2.3452470703085777</c:v>
                </c:pt>
              </c:numCache>
            </c:numRef>
          </c:xVal>
          <c:yVal>
            <c:numRef>
              <c:f>'ИПФ, ИПФК'!$AE$56:$AF$56</c:f>
              <c:numCache>
                <c:formatCode>0.000</c:formatCode>
                <c:ptCount val="2"/>
                <c:pt idx="0">
                  <c:v>0</c:v>
                </c:pt>
                <c:pt idx="1">
                  <c:v>6.8999999999999995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'ИПФ, ИПФК'!$V$54</c:f>
              <c:strCache>
                <c:ptCount val="1"/>
                <c:pt idx="0">
                  <c:v>ось fi_1</c:v>
                </c:pt>
              </c:strCache>
            </c:strRef>
          </c:tx>
          <c:spPr>
            <a:ln w="19050">
              <a:solidFill>
                <a:schemeClr val="accent1"/>
              </a:solidFill>
              <a:prstDash val="lgDash"/>
            </a:ln>
          </c:spPr>
          <c:marker>
            <c:symbol val="none"/>
          </c:marker>
          <c:xVal>
            <c:numRef>
              <c:f>'ИПФ, ИПФК'!$W$55:$X$55</c:f>
              <c:numCache>
                <c:formatCode>0.000</c:formatCode>
                <c:ptCount val="2"/>
                <c:pt idx="0">
                  <c:v>-1.4316018750000006</c:v>
                </c:pt>
                <c:pt idx="1">
                  <c:v>1.4316018750000006</c:v>
                </c:pt>
              </c:numCache>
            </c:numRef>
          </c:xVal>
          <c:yVal>
            <c:numRef>
              <c:f>'ИПФ, ИПФК'!$W$56:$X$56</c:f>
              <c:numCache>
                <c:formatCode>0.000</c:formatCode>
                <c:ptCount val="2"/>
                <c:pt idx="0">
                  <c:v>-6.1964787499999998</c:v>
                </c:pt>
                <c:pt idx="1">
                  <c:v>6.1964787499999998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5206656"/>
        <c:axId val="225208192"/>
      </c:scatterChart>
      <c:valAx>
        <c:axId val="225206656"/>
        <c:scaling>
          <c:orientation val="minMax"/>
        </c:scaling>
        <c:delete val="0"/>
        <c:axPos val="b"/>
        <c:majorGridlines/>
        <c:minorGridlines>
          <c:spPr>
            <a:ln w="6350">
              <a:prstDash val="dash"/>
            </a:ln>
          </c:spPr>
        </c:min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5208192"/>
        <c:crossesAt val="0"/>
        <c:crossBetween val="midCat"/>
      </c:valAx>
      <c:valAx>
        <c:axId val="225208192"/>
        <c:scaling>
          <c:orientation val="minMax"/>
        </c:scaling>
        <c:delete val="0"/>
        <c:axPos val="l"/>
        <c:majorGridlines/>
        <c:minorGridlines>
          <c:spPr>
            <a:ln w="6350">
              <a:prstDash val="dash"/>
            </a:ln>
          </c:spPr>
        </c:minorGridlines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ru-RU"/>
          </a:p>
        </c:txPr>
        <c:crossAx val="225206656"/>
        <c:crossesAt val="0"/>
        <c:crossBetween val="midCat"/>
      </c:valAx>
      <c:spPr>
        <a:solidFill>
          <a:srgbClr val="FFFFFF"/>
        </a:solidFill>
      </c:spPr>
    </c:plotArea>
    <c:legend>
      <c:legendPos val="r"/>
      <c:layout>
        <c:manualLayout>
          <c:xMode val="edge"/>
          <c:yMode val="edge"/>
          <c:x val="0.64173216251194409"/>
          <c:y val="0.69389148390349509"/>
          <c:w val="0.35691667573811336"/>
          <c:h val="0.30496769824675868"/>
        </c:manualLayout>
      </c:layout>
      <c:overlay val="0"/>
      <c:txPr>
        <a:bodyPr/>
        <a:lstStyle/>
        <a:p>
          <a:pPr>
            <a:defRPr sz="12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'ИПФ, ИПФК'!$AF$82</c:f>
          <c:strCache>
            <c:ptCount val="1"/>
            <c:pt idx="0">
              <c:v>Характеристики уставок
рабочей области ИПФК. 
Уставки ИПФК:
   - Rуст ипфк = 2,455 Ом,
   - Xуст ипфк = 1,354 Ом,
   - Xуст ипфк1 = 12,5% (0,169 Ом),
   - kум = 0,5,
   - fi_1 = 72,41°,
   - fi_2 = 115°,
   - fi_3 = -15°,
   - Kr = 0,15,
   - Kx = 0,578.</c:v>
            </c:pt>
          </c:strCache>
        </c:strRef>
      </c:tx>
      <c:layout>
        <c:manualLayout>
          <c:xMode val="edge"/>
          <c:yMode val="edge"/>
          <c:x val="0.67072958622107726"/>
          <c:y val="4.0993352108358715E-2"/>
        </c:manualLayout>
      </c:layout>
      <c:overlay val="0"/>
      <c:spPr>
        <a:noFill/>
        <a:ln>
          <a:noFill/>
        </a:ln>
      </c:spPr>
      <c:txPr>
        <a:bodyPr anchor="t" anchorCtr="0"/>
        <a:lstStyle/>
        <a:p>
          <a:pPr algn="l">
            <a:defRPr sz="1200">
              <a:latin typeface="Arial" pitchFamily="34" charset="0"/>
              <a:cs typeface="Arial" pitchFamily="34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3.9404720018112099E-2"/>
          <c:y val="4.5396851591241655E-2"/>
          <c:w val="0.58400873277937027"/>
          <c:h val="0.91901024834707778"/>
        </c:manualLayout>
      </c:layout>
      <c:scatterChart>
        <c:scatterStyle val="lineMarker"/>
        <c:varyColors val="0"/>
        <c:ser>
          <c:idx val="0"/>
          <c:order val="0"/>
          <c:tx>
            <c:strRef>
              <c:f>'ИПФ, ИПФК'!$V$79</c:f>
              <c:strCache>
                <c:ptCount val="1"/>
                <c:pt idx="0">
                  <c:v>Характеристика ИПФК (Xуст ипфк,Rуст ипфк,fi_1)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'ИПФ, ИПФК'!$W$80:$AA$80</c:f>
              <c:numCache>
                <c:formatCode>0.000</c:formatCode>
                <c:ptCount val="5"/>
                <c:pt idx="0">
                  <c:v>-3.1006854766096588</c:v>
                </c:pt>
                <c:pt idx="1">
                  <c:v>-2.1779102980382286</c:v>
                </c:pt>
                <c:pt idx="2">
                  <c:v>3.1006854766096588</c:v>
                </c:pt>
                <c:pt idx="3">
                  <c:v>2.1779102980382286</c:v>
                </c:pt>
                <c:pt idx="4">
                  <c:v>-3.1006854766096588</c:v>
                </c:pt>
              </c:numCache>
            </c:numRef>
          </c:xVal>
          <c:yVal>
            <c:numRef>
              <c:f>'ИПФ, ИПФК'!$W$81:$AA$81</c:f>
              <c:numCache>
                <c:formatCode>0.000</c:formatCode>
                <c:ptCount val="5"/>
                <c:pt idx="0">
                  <c:v>-1.7452495833333337</c:v>
                </c:pt>
                <c:pt idx="1">
                  <c:v>1.7452495833333337</c:v>
                </c:pt>
                <c:pt idx="2">
                  <c:v>1.7452495833333337</c:v>
                </c:pt>
                <c:pt idx="3">
                  <c:v>-1.7452495833333337</c:v>
                </c:pt>
                <c:pt idx="4">
                  <c:v>-1.7452495833333337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'ИПФ, ИПФК'!$Z$83</c:f>
              <c:strCache>
                <c:ptCount val="1"/>
                <c:pt idx="0">
                  <c:v>Характеристика ИПФК (fi_3)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'ИПФ, ИПФК'!$AA$84:$AB$84</c:f>
              <c:numCache>
                <c:formatCode>0.000</c:formatCode>
                <c:ptCount val="2"/>
                <c:pt idx="0">
                  <c:v>-2.9032276760563382</c:v>
                </c:pt>
                <c:pt idx="1">
                  <c:v>2.9032276760563382</c:v>
                </c:pt>
              </c:numCache>
            </c:numRef>
          </c:xVal>
          <c:yVal>
            <c:numRef>
              <c:f>'ИПФ, ИПФК'!$AA$85:$AB$85</c:f>
              <c:numCache>
                <c:formatCode>0.000</c:formatCode>
                <c:ptCount val="2"/>
                <c:pt idx="0">
                  <c:v>0.71452991988946868</c:v>
                </c:pt>
                <c:pt idx="1">
                  <c:v>-1.150842315722802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'ИПФ, ИПФК'!$AD$83</c:f>
              <c:strCache>
                <c:ptCount val="1"/>
                <c:pt idx="0">
                  <c:v>Характеристика ИПФК (fi_2)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'ИПФ, ИПФК'!$AE$84:$AF$84</c:f>
              <c:numCache>
                <c:formatCode>0.000</c:formatCode>
                <c:ptCount val="2"/>
                <c:pt idx="0">
                  <c:v>0.69301113654033097</c:v>
                </c:pt>
                <c:pt idx="1">
                  <c:v>-0.86270578035229839</c:v>
                </c:pt>
              </c:numCache>
            </c:numRef>
          </c:xVal>
          <c:yVal>
            <c:numRef>
              <c:f>'ИПФ, ИПФК'!$AE$85:$AF$85</c:f>
              <c:numCache>
                <c:formatCode>0.000</c:formatCode>
                <c:ptCount val="2"/>
                <c:pt idx="0">
                  <c:v>-2</c:v>
                </c:pt>
                <c:pt idx="1">
                  <c:v>2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'ИПФ, ИПФК'!$V$83</c:f>
              <c:strCache>
                <c:ptCount val="1"/>
                <c:pt idx="0">
                  <c:v>ось fi_1</c:v>
                </c:pt>
              </c:strCache>
            </c:strRef>
          </c:tx>
          <c:spPr>
            <a:ln w="19050">
              <a:solidFill>
                <a:schemeClr val="accent1"/>
              </a:solidFill>
              <a:prstDash val="lgDash"/>
            </a:ln>
          </c:spPr>
          <c:marker>
            <c:symbol val="none"/>
          </c:marker>
          <c:xVal>
            <c:numRef>
              <c:f>'ИПФ, ИПФК'!$W$84:$X$84</c:f>
              <c:numCache>
                <c:formatCode>0.000</c:formatCode>
                <c:ptCount val="2"/>
                <c:pt idx="0">
                  <c:v>-0.46138758928571499</c:v>
                </c:pt>
                <c:pt idx="1">
                  <c:v>0.46138758928571499</c:v>
                </c:pt>
              </c:numCache>
            </c:numRef>
          </c:xVal>
          <c:yVal>
            <c:numRef>
              <c:f>'ИПФ, ИПФК'!$W$85:$X$85</c:f>
              <c:numCache>
                <c:formatCode>0.000</c:formatCode>
                <c:ptCount val="2"/>
                <c:pt idx="0">
                  <c:v>-1.7452495833333337</c:v>
                </c:pt>
                <c:pt idx="1">
                  <c:v>1.7452495833333337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4395648"/>
        <c:axId val="224397184"/>
      </c:scatterChart>
      <c:valAx>
        <c:axId val="224395648"/>
        <c:scaling>
          <c:orientation val="minMax"/>
        </c:scaling>
        <c:delete val="0"/>
        <c:axPos val="b"/>
        <c:majorGridlines/>
        <c:minorGridlines>
          <c:spPr>
            <a:ln w="6350">
              <a:solidFill>
                <a:schemeClr val="bg1">
                  <a:lumMod val="65000"/>
                </a:schemeClr>
              </a:solidFill>
              <a:prstDash val="dash"/>
            </a:ln>
          </c:spPr>
        </c:min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4397184"/>
        <c:crossesAt val="0"/>
        <c:crossBetween val="midCat"/>
      </c:valAx>
      <c:valAx>
        <c:axId val="224397184"/>
        <c:scaling>
          <c:orientation val="minMax"/>
        </c:scaling>
        <c:delete val="0"/>
        <c:axPos val="l"/>
        <c:majorGridlines/>
        <c:minorGridlines>
          <c:spPr>
            <a:ln w="6350">
              <a:prstDash val="dash"/>
            </a:ln>
          </c:spPr>
        </c:minorGridlines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ru-RU"/>
          </a:p>
        </c:txPr>
        <c:crossAx val="224395648"/>
        <c:crossesAt val="0"/>
        <c:crossBetween val="midCat"/>
      </c:valAx>
      <c:spPr>
        <a:solidFill>
          <a:srgbClr val="FFFFFF"/>
        </a:solidFill>
      </c:spPr>
    </c:plotArea>
    <c:legend>
      <c:legendPos val="r"/>
      <c:layout>
        <c:manualLayout>
          <c:xMode val="edge"/>
          <c:yMode val="edge"/>
          <c:x val="0.64173216251194409"/>
          <c:y val="0.68721554878632873"/>
          <c:w val="0.35691667573811336"/>
          <c:h val="0.31164377263061094"/>
        </c:manualLayout>
      </c:layout>
      <c:overlay val="0"/>
      <c:txPr>
        <a:bodyPr/>
        <a:lstStyle/>
        <a:p>
          <a:pPr>
            <a:defRPr sz="12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 sz="1400" b="1" i="0" u="none" strike="noStrike" baseline="0">
                <a:effectLst/>
              </a:rPr>
              <a:t>Характеристика ПО РТНП с торможением</a:t>
            </a:r>
            <a:endParaRPr lang="ru-RU"/>
          </a:p>
        </c:rich>
      </c:tx>
      <c:layout>
        <c:manualLayout>
          <c:xMode val="edge"/>
          <c:yMode val="edge"/>
          <c:x val="0.16391567720701578"/>
          <c:y val="1.85190644272914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51760532563925"/>
          <c:y val="0.13944248348266811"/>
          <c:w val="0.76198465856846431"/>
          <c:h val="0.57866722005613092"/>
        </c:manualLayout>
      </c:layout>
      <c:scatterChart>
        <c:scatterStyle val="lineMarker"/>
        <c:varyColors val="0"/>
        <c:ser>
          <c:idx val="0"/>
          <c:order val="0"/>
          <c:tx>
            <c:strRef>
              <c:f>ООВП!$W$33</c:f>
              <c:strCache>
                <c:ptCount val="1"/>
                <c:pt idx="0">
                  <c:v>Контрольные точки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</c:marker>
          <c:xVal>
            <c:numRef>
              <c:f>ООВП!$X$35:$AA$35</c:f>
              <c:numCache>
                <c:formatCode>0.000</c:formatCode>
                <c:ptCount val="4"/>
                <c:pt idx="0">
                  <c:v>2</c:v>
                </c:pt>
                <c:pt idx="1">
                  <c:v>10</c:v>
                </c:pt>
                <c:pt idx="2">
                  <c:v>12</c:v>
                </c:pt>
                <c:pt idx="3">
                  <c:v>14</c:v>
                </c:pt>
              </c:numCache>
            </c:numRef>
          </c:xVal>
          <c:yVal>
            <c:numRef>
              <c:f>ООВП!$X$36:$AA$36</c:f>
              <c:numCache>
                <c:formatCode>0.000</c:formatCode>
                <c:ptCount val="4"/>
                <c:pt idx="0">
                  <c:v>0.5</c:v>
                </c:pt>
                <c:pt idx="1">
                  <c:v>0.5</c:v>
                </c:pt>
                <c:pt idx="2">
                  <c:v>0.57500000000000007</c:v>
                </c:pt>
                <c:pt idx="3">
                  <c:v>0.77500000000000002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ООВП!$W$28</c:f>
              <c:strCache>
                <c:ptCount val="1"/>
                <c:pt idx="0">
                  <c:v>Хар-ка ПО РТНП</c:v>
                </c:pt>
              </c:strCache>
            </c:strRef>
          </c:tx>
          <c:marker>
            <c:symbol val="square"/>
            <c:size val="5"/>
          </c:marker>
          <c:xVal>
            <c:numRef>
              <c:f>ООВП!$X$30:$AA$30</c:f>
              <c:numCache>
                <c:formatCode>0.000</c:formatCode>
                <c:ptCount val="4"/>
                <c:pt idx="0">
                  <c:v>0</c:v>
                </c:pt>
                <c:pt idx="1">
                  <c:v>11.25</c:v>
                </c:pt>
                <c:pt idx="2">
                  <c:v>15</c:v>
                </c:pt>
                <c:pt idx="3">
                  <c:v>15</c:v>
                </c:pt>
              </c:numCache>
            </c:numRef>
          </c:xVal>
          <c:yVal>
            <c:numRef>
              <c:f>ООВП!$X$31:$AA$31</c:f>
              <c:numCache>
                <c:formatCode>0.000</c:formatCode>
                <c:ptCount val="4"/>
                <c:pt idx="0">
                  <c:v>0.5</c:v>
                </c:pt>
                <c:pt idx="1">
                  <c:v>0.5</c:v>
                </c:pt>
                <c:pt idx="2">
                  <c:v>0.875</c:v>
                </c:pt>
                <c:pt idx="3">
                  <c:v>1.1375</c:v>
                </c:pt>
              </c:numCache>
            </c:numRef>
          </c:yVal>
          <c:smooth val="0"/>
        </c:ser>
        <c:ser>
          <c:idx val="2"/>
          <c:order val="2"/>
          <c:tx>
            <c:v>Проверочная точка</c:v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ООВП!$AB$22</c:f>
              <c:numCache>
                <c:formatCode>0.000</c:formatCode>
                <c:ptCount val="1"/>
                <c:pt idx="0">
                  <c:v>5</c:v>
                </c:pt>
              </c:numCache>
            </c:numRef>
          </c:xVal>
          <c:yVal>
            <c:numRef>
              <c:f>ООВП!$AB$23</c:f>
              <c:numCache>
                <c:formatCode>0.000</c:formatCode>
                <c:ptCount val="1"/>
                <c:pt idx="0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4890880"/>
        <c:axId val="224893184"/>
      </c:scatterChart>
      <c:valAx>
        <c:axId val="224890880"/>
        <c:scaling>
          <c:orientation val="minMax"/>
        </c:scaling>
        <c:delete val="0"/>
        <c:axPos val="b"/>
        <c:majorGridlines/>
        <c:minorGridlines>
          <c:spPr>
            <a:ln w="6350">
              <a:prstDash val="dash"/>
            </a:ln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1200" b="1" i="0" u="none" strike="noStrike" baseline="0">
                    <a:solidFill>
                      <a:srgbClr val="000000"/>
                    </a:solidFill>
                    <a:latin typeface="Calibri"/>
                    <a:cs typeface="Calibri"/>
                  </a:rPr>
                  <a:t>I</a:t>
                </a:r>
                <a:r>
                  <a:rPr lang="ru-RU" sz="800" b="1" i="0" u="none" strike="noStrike" baseline="0">
                    <a:solidFill>
                      <a:srgbClr val="000000"/>
                    </a:solidFill>
                    <a:latin typeface="Calibri"/>
                    <a:cs typeface="Calibri"/>
                  </a:rPr>
                  <a:t>T</a:t>
                </a:r>
                <a:r>
                  <a:rPr lang="ru-RU" sz="1200" b="1" i="0" u="none" strike="noStrike" baseline="0">
                    <a:solidFill>
                      <a:srgbClr val="000000"/>
                    </a:solidFill>
                    <a:latin typeface="Calibri"/>
                    <a:cs typeface="Calibri"/>
                  </a:rPr>
                  <a:t>, ое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4893184"/>
        <c:crosses val="autoZero"/>
        <c:crossBetween val="midCat"/>
      </c:valAx>
      <c:valAx>
        <c:axId val="224893184"/>
        <c:scaling>
          <c:orientation val="minMax"/>
        </c:scaling>
        <c:delete val="0"/>
        <c:axPos val="l"/>
        <c:majorGridlines/>
        <c:minorGridlines>
          <c:spPr>
            <a:ln w="6350">
              <a:prstDash val="dash"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1200" b="1" i="0" u="none" strike="noStrike" baseline="0">
                    <a:solidFill>
                      <a:srgbClr val="000000"/>
                    </a:solidFill>
                    <a:latin typeface="Calibri"/>
                    <a:cs typeface="Calibri"/>
                  </a:rPr>
                  <a:t>I</a:t>
                </a:r>
                <a:r>
                  <a:rPr lang="ru-RU" sz="800" b="1" i="0" u="none" strike="noStrike" baseline="0">
                    <a:solidFill>
                      <a:srgbClr val="000000"/>
                    </a:solidFill>
                    <a:latin typeface="Calibri"/>
                    <a:cs typeface="Calibri"/>
                  </a:rPr>
                  <a:t>Д</a:t>
                </a:r>
                <a:r>
                  <a:rPr lang="ru-RU" sz="1200" b="1" i="0" u="none" strike="noStrike" baseline="0">
                    <a:solidFill>
                      <a:srgbClr val="000000"/>
                    </a:solidFill>
                    <a:latin typeface="Calibri"/>
                    <a:cs typeface="Calibri"/>
                  </a:rPr>
                  <a:t>, ое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4890880"/>
        <c:crossesAt val="0"/>
        <c:crossBetween val="midCat"/>
        <c:majorUnit val="0.5"/>
      </c:valAx>
      <c:spPr>
        <a:solidFill>
          <a:srgbClr val="FFFFFF"/>
        </a:solidFill>
      </c:spPr>
    </c:plotArea>
    <c:legend>
      <c:legendPos val="r"/>
      <c:layout>
        <c:manualLayout>
          <c:xMode val="edge"/>
          <c:yMode val="edge"/>
          <c:x val="5.3874726006779936E-2"/>
          <c:y val="0.86122643020499801"/>
          <c:w val="0.86886158855820073"/>
          <c:h val="9.93929849354221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/>
              <a:t>Характеристика ПО РТНП с торможением + контрольные точки</a:t>
            </a:r>
          </a:p>
        </c:rich>
      </c:tx>
      <c:layout>
        <c:manualLayout>
          <c:xMode val="edge"/>
          <c:yMode val="edge"/>
          <c:x val="0.16391572072599206"/>
          <c:y val="1.8518609449988017E-2"/>
        </c:manualLayout>
      </c:layout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961278088053552"/>
          <c:y val="0.13944236670735682"/>
          <c:w val="0.7403114786054813"/>
          <c:h val="0.58964200779110876"/>
        </c:manualLayout>
      </c:layout>
      <c:scatterChart>
        <c:scatterStyle val="lineMarker"/>
        <c:varyColors val="0"/>
        <c:ser>
          <c:idx val="1"/>
          <c:order val="0"/>
          <c:tx>
            <c:strRef>
              <c:f>ООВП!$AR$40</c:f>
              <c:strCache>
                <c:ptCount val="1"/>
                <c:pt idx="0">
                  <c:v>Характеристика ПО РТНП</c:v>
                </c:pt>
              </c:strCache>
            </c:strRef>
          </c:tx>
          <c:marker>
            <c:symbol val="square"/>
            <c:size val="5"/>
          </c:marker>
          <c:xVal>
            <c:numRef>
              <c:f>ООВП!$AR$41:$AR$44</c:f>
              <c:numCache>
                <c:formatCode>0.000</c:formatCode>
                <c:ptCount val="4"/>
                <c:pt idx="0">
                  <c:v>0</c:v>
                </c:pt>
                <c:pt idx="1">
                  <c:v>11.25</c:v>
                </c:pt>
                <c:pt idx="2">
                  <c:v>15</c:v>
                </c:pt>
                <c:pt idx="3">
                  <c:v>15</c:v>
                </c:pt>
              </c:numCache>
            </c:numRef>
          </c:xVal>
          <c:yVal>
            <c:numRef>
              <c:f>ООВП!$AS$41:$AS$44</c:f>
              <c:numCache>
                <c:formatCode>0.000</c:formatCode>
                <c:ptCount val="4"/>
                <c:pt idx="0">
                  <c:v>0.5</c:v>
                </c:pt>
                <c:pt idx="1">
                  <c:v>0.5</c:v>
                </c:pt>
                <c:pt idx="2">
                  <c:v>0.875</c:v>
                </c:pt>
                <c:pt idx="3">
                  <c:v>1.1375</c:v>
                </c:pt>
              </c:numCache>
            </c:numRef>
          </c:yVal>
          <c:smooth val="0"/>
        </c:ser>
        <c:ser>
          <c:idx val="0"/>
          <c:order val="1"/>
          <c:tx>
            <c:strRef>
              <c:f>ООВП!$AO$16</c:f>
              <c:strCache>
                <c:ptCount val="1"/>
                <c:pt idx="0">
                  <c:v>Контрольные точки</c:v>
                </c:pt>
              </c:strCache>
            </c:strRef>
          </c:tx>
          <c:spPr>
            <a:ln>
              <a:noFill/>
            </a:ln>
          </c:spPr>
          <c:xVal>
            <c:numRef>
              <c:f>ООВП!$AR$18:$AR$26</c:f>
              <c:numCache>
                <c:formatCode>0.000</c:formatCode>
                <c:ptCount val="9"/>
                <c:pt idx="0">
                  <c:v>0</c:v>
                </c:pt>
                <c:pt idx="1">
                  <c:v>1.1000000000000001</c:v>
                </c:pt>
                <c:pt idx="2">
                  <c:v>5.6</c:v>
                </c:pt>
                <c:pt idx="3">
                  <c:v>10.1</c:v>
                </c:pt>
                <c:pt idx="4">
                  <c:v>11.25</c:v>
                </c:pt>
                <c:pt idx="5">
                  <c:v>12</c:v>
                </c:pt>
                <c:pt idx="6">
                  <c:v>13.2</c:v>
                </c:pt>
                <c:pt idx="7">
                  <c:v>14.7</c:v>
                </c:pt>
                <c:pt idx="8">
                  <c:v>15.4</c:v>
                </c:pt>
              </c:numCache>
            </c:numRef>
          </c:xVal>
          <c:yVal>
            <c:numRef>
              <c:f>ООВП!$AS$18:$AS$26</c:f>
              <c:numCache>
                <c:formatCode>0.000</c:formatCode>
                <c:ptCount val="9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0.57500000000000007</c:v>
                </c:pt>
                <c:pt idx="6">
                  <c:v>0.69499999999999995</c:v>
                </c:pt>
                <c:pt idx="7">
                  <c:v>0.84499999999999997</c:v>
                </c:pt>
                <c:pt idx="8">
                  <c:v>0.91500000000000004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665920"/>
        <c:axId val="131667840"/>
      </c:scatterChart>
      <c:valAx>
        <c:axId val="131665920"/>
        <c:scaling>
          <c:orientation val="minMax"/>
          <c:min val="0"/>
        </c:scaling>
        <c:delete val="0"/>
        <c:axPos val="b"/>
        <c:majorGridlines/>
        <c:minorGridlines>
          <c:spPr>
            <a:ln w="6350">
              <a:prstDash val="dash"/>
            </a:ln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1200" b="1" i="0" u="none" strike="noStrike" baseline="0">
                    <a:solidFill>
                      <a:srgbClr val="000000"/>
                    </a:solidFill>
                    <a:latin typeface="Calibri"/>
                    <a:cs typeface="Calibri"/>
                  </a:rPr>
                  <a:t>I</a:t>
                </a:r>
                <a:r>
                  <a:rPr lang="ru-RU" sz="800" b="1" i="0" u="none" strike="noStrike" baseline="0">
                    <a:solidFill>
                      <a:srgbClr val="000000"/>
                    </a:solidFill>
                    <a:latin typeface="Calibri"/>
                    <a:cs typeface="Calibri"/>
                  </a:rPr>
                  <a:t>T</a:t>
                </a:r>
                <a:r>
                  <a:rPr lang="ru-RU" sz="1200" b="1" i="0" u="none" strike="noStrike" baseline="0">
                    <a:solidFill>
                      <a:srgbClr val="000000"/>
                    </a:solidFill>
                    <a:latin typeface="Calibri"/>
                    <a:cs typeface="Calibri"/>
                  </a:rPr>
                  <a:t>, ое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1667840"/>
        <c:crosses val="autoZero"/>
        <c:crossBetween val="midCat"/>
      </c:valAx>
      <c:valAx>
        <c:axId val="131667840"/>
        <c:scaling>
          <c:orientation val="minMax"/>
          <c:min val="0"/>
        </c:scaling>
        <c:delete val="0"/>
        <c:axPos val="l"/>
        <c:majorGridlines/>
        <c:minorGridlines>
          <c:spPr>
            <a:ln w="6350">
              <a:prstDash val="dash"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1200" b="1" i="0" u="none" strike="noStrike" baseline="0">
                    <a:solidFill>
                      <a:srgbClr val="000000"/>
                    </a:solidFill>
                    <a:latin typeface="Calibri"/>
                    <a:cs typeface="Calibri"/>
                  </a:rPr>
                  <a:t>I</a:t>
                </a:r>
                <a:r>
                  <a:rPr lang="ru-RU" sz="800" b="1" i="0" u="none" strike="noStrike" baseline="0">
                    <a:solidFill>
                      <a:srgbClr val="000000"/>
                    </a:solidFill>
                    <a:latin typeface="Calibri"/>
                    <a:cs typeface="Calibri"/>
                  </a:rPr>
                  <a:t>Д</a:t>
                </a:r>
                <a:r>
                  <a:rPr lang="ru-RU" sz="1200" b="1" i="0" u="none" strike="noStrike" baseline="0">
                    <a:solidFill>
                      <a:srgbClr val="000000"/>
                    </a:solidFill>
                    <a:latin typeface="Calibri"/>
                    <a:cs typeface="Calibri"/>
                  </a:rPr>
                  <a:t>, ое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1665920"/>
        <c:crosses val="autoZero"/>
        <c:crossBetween val="midCat"/>
        <c:majorUnit val="0.5"/>
      </c:valAx>
      <c:spPr>
        <a:solidFill>
          <a:srgbClr val="FFFFFF"/>
        </a:solidFill>
      </c:spPr>
    </c:plotArea>
    <c:legend>
      <c:legendPos val="r"/>
      <c:layout>
        <c:manualLayout>
          <c:xMode val="edge"/>
          <c:yMode val="edge"/>
          <c:x val="5.3078556263269641E-2"/>
          <c:y val="0.85746102449888639"/>
          <c:w val="0.54140238839571808"/>
          <c:h val="0.1358574610244989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/>
              <a:t>Характеристика ПО РТНП с торможением</a:t>
            </a:r>
          </a:p>
        </c:rich>
      </c:tx>
      <c:layout>
        <c:manualLayout>
          <c:xMode val="edge"/>
          <c:yMode val="edge"/>
          <c:x val="0.16391547210444848"/>
          <c:y val="1.8518609449988017E-2"/>
        </c:manualLayout>
      </c:layout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961278088053552"/>
          <c:y val="0.13944236670735682"/>
          <c:w val="0.7403114786054813"/>
          <c:h val="0.58964200779110876"/>
        </c:manualLayout>
      </c:layout>
      <c:scatterChart>
        <c:scatterStyle val="lineMarker"/>
        <c:varyColors val="0"/>
        <c:ser>
          <c:idx val="1"/>
          <c:order val="0"/>
          <c:tx>
            <c:strRef>
              <c:f>ООВП!$AR$40</c:f>
              <c:strCache>
                <c:ptCount val="1"/>
                <c:pt idx="0">
                  <c:v>Характеристика ПО РТНП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3"/>
          </c:marker>
          <c:xVal>
            <c:numRef>
              <c:f>ООВП!$AR$41:$AR$44</c:f>
              <c:numCache>
                <c:formatCode>0.000</c:formatCode>
                <c:ptCount val="4"/>
                <c:pt idx="0">
                  <c:v>0</c:v>
                </c:pt>
                <c:pt idx="1">
                  <c:v>11.25</c:v>
                </c:pt>
                <c:pt idx="2">
                  <c:v>15</c:v>
                </c:pt>
                <c:pt idx="3">
                  <c:v>15</c:v>
                </c:pt>
              </c:numCache>
            </c:numRef>
          </c:xVal>
          <c:yVal>
            <c:numRef>
              <c:f>ООВП!$AS$41:$AS$44</c:f>
              <c:numCache>
                <c:formatCode>0.000</c:formatCode>
                <c:ptCount val="4"/>
                <c:pt idx="0">
                  <c:v>0.5</c:v>
                </c:pt>
                <c:pt idx="1">
                  <c:v>0.5</c:v>
                </c:pt>
                <c:pt idx="2">
                  <c:v>0.875</c:v>
                </c:pt>
                <c:pt idx="3">
                  <c:v>1.1375</c:v>
                </c:pt>
              </c:numCache>
            </c:numRef>
          </c:yVal>
          <c:smooth val="0"/>
        </c:ser>
        <c:ser>
          <c:idx val="0"/>
          <c:order val="1"/>
          <c:tx>
            <c:strRef>
              <c:f>ООВП!$BB$16</c:f>
              <c:strCache>
                <c:ptCount val="1"/>
                <c:pt idx="0">
                  <c:v>Конечные значения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xVal>
            <c:numRef>
              <c:f>ООВП!$BB$18:$BB$25</c:f>
              <c:numCache>
                <c:formatCode>0.000</c:formatCode>
                <c:ptCount val="8"/>
                <c:pt idx="0">
                  <c:v>0</c:v>
                </c:pt>
                <c:pt idx="1">
                  <c:v>1.1000000000000001</c:v>
                </c:pt>
                <c:pt idx="2">
                  <c:v>5.6</c:v>
                </c:pt>
                <c:pt idx="3">
                  <c:v>10.1</c:v>
                </c:pt>
                <c:pt idx="4">
                  <c:v>11.25</c:v>
                </c:pt>
                <c:pt idx="5">
                  <c:v>12</c:v>
                </c:pt>
                <c:pt idx="6">
                  <c:v>13.2</c:v>
                </c:pt>
                <c:pt idx="7">
                  <c:v>14.7</c:v>
                </c:pt>
              </c:numCache>
            </c:numRef>
          </c:xVal>
          <c:yVal>
            <c:numRef>
              <c:f>ООВП!$BC$18:$BC$25</c:f>
              <c:numCache>
                <c:formatCode>0.000</c:formatCode>
                <c:ptCount val="8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0.57500000000000007</c:v>
                </c:pt>
                <c:pt idx="6">
                  <c:v>0.69499999999999995</c:v>
                </c:pt>
                <c:pt idx="7">
                  <c:v>0.84499999999999997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717760"/>
        <c:axId val="131719936"/>
      </c:scatterChart>
      <c:valAx>
        <c:axId val="131717760"/>
        <c:scaling>
          <c:orientation val="minMax"/>
          <c:min val="0"/>
        </c:scaling>
        <c:delete val="0"/>
        <c:axPos val="b"/>
        <c:majorGridlines/>
        <c:minorGridlines>
          <c:spPr>
            <a:ln w="6350">
              <a:prstDash val="dash"/>
            </a:ln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1200" b="1" i="0" u="none" strike="noStrike" baseline="0">
                    <a:solidFill>
                      <a:srgbClr val="000000"/>
                    </a:solidFill>
                    <a:latin typeface="Calibri"/>
                    <a:cs typeface="Calibri"/>
                  </a:rPr>
                  <a:t>I</a:t>
                </a:r>
                <a:r>
                  <a:rPr lang="ru-RU" sz="800" b="1" i="0" u="none" strike="noStrike" baseline="0">
                    <a:solidFill>
                      <a:srgbClr val="000000"/>
                    </a:solidFill>
                    <a:latin typeface="Calibri"/>
                    <a:cs typeface="Calibri"/>
                  </a:rPr>
                  <a:t>T</a:t>
                </a:r>
                <a:r>
                  <a:rPr lang="ru-RU" sz="1200" b="1" i="0" u="none" strike="noStrike" baseline="0">
                    <a:solidFill>
                      <a:srgbClr val="000000"/>
                    </a:solidFill>
                    <a:latin typeface="Calibri"/>
                    <a:cs typeface="Calibri"/>
                  </a:rPr>
                  <a:t>, ое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1719936"/>
        <c:crosses val="autoZero"/>
        <c:crossBetween val="midCat"/>
      </c:valAx>
      <c:valAx>
        <c:axId val="131719936"/>
        <c:scaling>
          <c:orientation val="minMax"/>
        </c:scaling>
        <c:delete val="0"/>
        <c:axPos val="l"/>
        <c:majorGridlines/>
        <c:minorGridlines>
          <c:spPr>
            <a:ln w="6350">
              <a:prstDash val="dash"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1200" b="1" i="0" u="none" strike="noStrike" baseline="0">
                    <a:solidFill>
                      <a:srgbClr val="000000"/>
                    </a:solidFill>
                    <a:latin typeface="Calibri"/>
                    <a:cs typeface="Calibri"/>
                  </a:rPr>
                  <a:t>I</a:t>
                </a:r>
                <a:r>
                  <a:rPr lang="ru-RU" sz="800" b="1" i="0" u="none" strike="noStrike" baseline="0">
                    <a:solidFill>
                      <a:srgbClr val="000000"/>
                    </a:solidFill>
                    <a:latin typeface="Calibri"/>
                    <a:cs typeface="Calibri"/>
                  </a:rPr>
                  <a:t>Д</a:t>
                </a:r>
                <a:r>
                  <a:rPr lang="ru-RU" sz="1200" b="1" i="0" u="none" strike="noStrike" baseline="0">
                    <a:solidFill>
                      <a:srgbClr val="000000"/>
                    </a:solidFill>
                    <a:latin typeface="Calibri"/>
                    <a:cs typeface="Calibri"/>
                  </a:rPr>
                  <a:t>, ое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1717760"/>
        <c:crosses val="autoZero"/>
        <c:crossBetween val="midCat"/>
        <c:majorUnit val="0.5"/>
      </c:valAx>
      <c:spPr>
        <a:solidFill>
          <a:srgbClr val="FFFFFF"/>
        </a:solidFill>
      </c:spPr>
    </c:plotArea>
    <c:legend>
      <c:legendPos val="r"/>
      <c:layout>
        <c:manualLayout>
          <c:xMode val="edge"/>
          <c:yMode val="edge"/>
          <c:x val="6.1966036296744957E-2"/>
          <c:y val="0.85746102449888639"/>
          <c:w val="0.52136864302218644"/>
          <c:h val="0.1336302895322939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'РС междуфазное'!$AD$70</c:f>
          <c:strCache>
            <c:ptCount val="1"/>
            <c:pt idx="0">
              <c:v>Характеристики уставок
рабочей области РС.
Уставки РС:
   - Xуст = 4 Ом,
   - Rуст = 2 Ом,
   - fi_1 = 70°,
   - fi_2 = -20°,
   - fi_3 = 115°,
   - fi_4 = -15°,
   - Rнагр = 1 Ом,
   - fi_нагр = 15°.</c:v>
            </c:pt>
          </c:strCache>
        </c:strRef>
      </c:tx>
      <c:layout>
        <c:manualLayout>
          <c:xMode val="edge"/>
          <c:yMode val="edge"/>
          <c:x val="0.79289895515470099"/>
          <c:y val="5.3158850466573482E-2"/>
        </c:manualLayout>
      </c:layout>
      <c:overlay val="0"/>
      <c:spPr>
        <a:ln>
          <a:noFill/>
        </a:ln>
      </c:spPr>
      <c:txPr>
        <a:bodyPr anchor="t" anchorCtr="0"/>
        <a:lstStyle/>
        <a:p>
          <a:pPr algn="l">
            <a:defRPr sz="1200">
              <a:latin typeface="Arial" pitchFamily="34" charset="0"/>
              <a:cs typeface="Arial" pitchFamily="34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3.9404720018112099E-2"/>
          <c:y val="4.5396851591241655E-2"/>
          <c:w val="0.68231908001481867"/>
          <c:h val="0.91901024834707778"/>
        </c:manualLayout>
      </c:layout>
      <c:scatterChart>
        <c:scatterStyle val="lineMarker"/>
        <c:varyColors val="0"/>
        <c:ser>
          <c:idx val="0"/>
          <c:order val="0"/>
          <c:tx>
            <c:strRef>
              <c:f>'РС междуфазное'!$V$66</c:f>
              <c:strCache>
                <c:ptCount val="1"/>
                <c:pt idx="0">
                  <c:v>Характеристика РС (Xуст,Rуст,fi_1)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'РС междуфазное'!$W$67:$AA$67</c:f>
              <c:numCache>
                <c:formatCode>0.000</c:formatCode>
                <c:ptCount val="5"/>
                <c:pt idx="0">
                  <c:v>-3.4558809370648098</c:v>
                </c:pt>
                <c:pt idx="1">
                  <c:v>-0.54411906293519019</c:v>
                </c:pt>
                <c:pt idx="2">
                  <c:v>3.4558809370648098</c:v>
                </c:pt>
                <c:pt idx="3">
                  <c:v>0.54411906293519019</c:v>
                </c:pt>
                <c:pt idx="4">
                  <c:v>-3.4558809370648098</c:v>
                </c:pt>
              </c:numCache>
            </c:numRef>
          </c:xVal>
          <c:yVal>
            <c:numRef>
              <c:f>'РС междуфазное'!$W$68:$AA$68</c:f>
              <c:numCache>
                <c:formatCode>0.000</c:formatCode>
                <c:ptCount val="5"/>
                <c:pt idx="0">
                  <c:v>-4</c:v>
                </c:pt>
                <c:pt idx="1">
                  <c:v>4</c:v>
                </c:pt>
                <c:pt idx="2">
                  <c:v>4</c:v>
                </c:pt>
                <c:pt idx="3">
                  <c:v>-4</c:v>
                </c:pt>
                <c:pt idx="4">
                  <c:v>-4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'РС междуфазное'!$V$74</c:f>
              <c:strCache>
                <c:ptCount val="1"/>
                <c:pt idx="0">
                  <c:v>Характеристика РС (fi_2)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xVal>
            <c:numRef>
              <c:f>'РС междуфазное'!$W$75:$X$75</c:f>
              <c:numCache>
                <c:formatCode>0.000</c:formatCode>
                <c:ptCount val="2"/>
                <c:pt idx="0">
                  <c:v>0</c:v>
                </c:pt>
                <c:pt idx="1">
                  <c:v>3.9</c:v>
                </c:pt>
              </c:numCache>
            </c:numRef>
          </c:xVal>
          <c:yVal>
            <c:numRef>
              <c:f>'РС междуфазное'!$W$76:$X$76</c:f>
              <c:numCache>
                <c:formatCode>0.000</c:formatCode>
                <c:ptCount val="2"/>
                <c:pt idx="0">
                  <c:v>0</c:v>
                </c:pt>
                <c:pt idx="1">
                  <c:v>-1.4194839136381892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'РС междуфазное'!$V$78</c:f>
              <c:strCache>
                <c:ptCount val="1"/>
                <c:pt idx="0">
                  <c:v>Характеристика РС (fi_3)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'РС междуфазное'!$W$79:$X$79</c:f>
              <c:numCache>
                <c:formatCode>0.000</c:formatCode>
                <c:ptCount val="2"/>
                <c:pt idx="0">
                  <c:v>0</c:v>
                </c:pt>
                <c:pt idx="1">
                  <c:v>-2.0517536958819931</c:v>
                </c:pt>
              </c:numCache>
            </c:numRef>
          </c:xVal>
          <c:yVal>
            <c:numRef>
              <c:f>'РС междуфазное'!$W$80:$X$80</c:f>
              <c:numCache>
                <c:formatCode>0.000</c:formatCode>
                <c:ptCount val="2"/>
                <c:pt idx="0">
                  <c:v>0</c:v>
                </c:pt>
                <c:pt idx="1">
                  <c:v>4.4000000000000004</c:v>
                </c:pt>
              </c:numCache>
            </c:numRef>
          </c:yVal>
          <c:smooth val="0"/>
        </c:ser>
        <c:ser>
          <c:idx val="6"/>
          <c:order val="3"/>
          <c:tx>
            <c:strRef>
              <c:f>'РС междуфазное'!$V$90</c:f>
              <c:strCache>
                <c:ptCount val="1"/>
                <c:pt idx="0">
                  <c:v>Характеристика РС (fi_4)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'РС междуфазное'!$W$91:$X$91</c:f>
              <c:numCache>
                <c:formatCode>0.000</c:formatCode>
                <c:ptCount val="2"/>
                <c:pt idx="0">
                  <c:v>1.2678571428571432</c:v>
                </c:pt>
                <c:pt idx="1">
                  <c:v>4.2678571428571432</c:v>
                </c:pt>
              </c:numCache>
            </c:numRef>
          </c:xVal>
          <c:yVal>
            <c:numRef>
              <c:f>'РС междуфазное'!$W$92:$X$92</c:f>
              <c:numCache>
                <c:formatCode>0.000</c:formatCode>
                <c:ptCount val="2"/>
                <c:pt idx="0">
                  <c:v>4</c:v>
                </c:pt>
                <c:pt idx="1">
                  <c:v>3.196152422706632</c:v>
                </c:pt>
              </c:numCache>
            </c:numRef>
          </c:yVal>
          <c:smooth val="0"/>
        </c:ser>
        <c:ser>
          <c:idx val="1"/>
          <c:order val="4"/>
          <c:tx>
            <c:strRef>
              <c:f>'РС междуфазное'!$V$82</c:f>
              <c:strCache>
                <c:ptCount val="1"/>
                <c:pt idx="0">
                  <c:v>Область нагрузки (Rнагр, fi_нагр)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xVal>
            <c:numRef>
              <c:f>'РС междуфазное'!$W$83:$Z$83</c:f>
              <c:numCache>
                <c:formatCode>0.000</c:formatCode>
                <c:ptCount val="4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</c:numCache>
            </c:numRef>
          </c:xVal>
          <c:yVal>
            <c:numRef>
              <c:f>'РС междуфазное'!$W$84:$Z$84</c:f>
              <c:numCache>
                <c:formatCode>0.000</c:formatCode>
                <c:ptCount val="4"/>
                <c:pt idx="0">
                  <c:v>0.80384757729336809</c:v>
                </c:pt>
                <c:pt idx="1">
                  <c:v>0.2679491924311227</c:v>
                </c:pt>
                <c:pt idx="2">
                  <c:v>-0.2679491924311227</c:v>
                </c:pt>
                <c:pt idx="3">
                  <c:v>-0.80384757729336809</c:v>
                </c:pt>
              </c:numCache>
            </c:numRef>
          </c:yVal>
          <c:smooth val="0"/>
        </c:ser>
        <c:ser>
          <c:idx val="4"/>
          <c:order val="5"/>
          <c:tx>
            <c:strRef>
              <c:f>'РС междуфазное'!$V$70</c:f>
              <c:strCache>
                <c:ptCount val="1"/>
                <c:pt idx="0">
                  <c:v>ось fi_1</c:v>
                </c:pt>
              </c:strCache>
            </c:strRef>
          </c:tx>
          <c:spPr>
            <a:ln w="19050">
              <a:solidFill>
                <a:schemeClr val="accent1"/>
              </a:solidFill>
              <a:prstDash val="lgDash"/>
            </a:ln>
          </c:spPr>
          <c:marker>
            <c:symbol val="none"/>
          </c:marker>
          <c:xVal>
            <c:numRef>
              <c:f>'РС междуфазное'!$W$71:$X$71</c:f>
              <c:numCache>
                <c:formatCode>0.000</c:formatCode>
                <c:ptCount val="2"/>
                <c:pt idx="0">
                  <c:v>-1.4558809370648098</c:v>
                </c:pt>
                <c:pt idx="1">
                  <c:v>1.4558809370648098</c:v>
                </c:pt>
              </c:numCache>
            </c:numRef>
          </c:xVal>
          <c:yVal>
            <c:numRef>
              <c:f>'РС междуфазное'!$W$72:$X$72</c:f>
              <c:numCache>
                <c:formatCode>0.000</c:formatCode>
                <c:ptCount val="2"/>
                <c:pt idx="0">
                  <c:v>-4</c:v>
                </c:pt>
                <c:pt idx="1">
                  <c:v>4</c:v>
                </c:pt>
              </c:numCache>
            </c:numRef>
          </c:yVal>
          <c:smooth val="0"/>
        </c:ser>
        <c:ser>
          <c:idx val="5"/>
          <c:order val="6"/>
          <c:tx>
            <c:strRef>
              <c:f>'РС междуфазное'!$V$86</c:f>
              <c:strCache>
                <c:ptCount val="1"/>
                <c:pt idx="0">
                  <c:v>ось fi_линии</c:v>
                </c:pt>
              </c:strCache>
            </c:strRef>
          </c:tx>
          <c:spPr>
            <a:ln w="19050"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  <c:marker>
            <c:symbol val="none"/>
          </c:marker>
          <c:xVal>
            <c:numRef>
              <c:f>'РС междуфазное'!$W$87:$X$87</c:f>
              <c:numCache>
                <c:formatCode>0.000</c:formatCode>
                <c:ptCount val="2"/>
                <c:pt idx="0">
                  <c:v>0</c:v>
                </c:pt>
                <c:pt idx="1">
                  <c:v>1.2678571428571432</c:v>
                </c:pt>
              </c:numCache>
            </c:numRef>
          </c:xVal>
          <c:yVal>
            <c:numRef>
              <c:f>'РС междуфазное'!$W$88:$X$88</c:f>
              <c:numCache>
                <c:formatCode>0.000</c:formatCode>
                <c:ptCount val="2"/>
                <c:pt idx="0">
                  <c:v>0</c:v>
                </c:pt>
                <c:pt idx="1">
                  <c:v>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967936"/>
        <c:axId val="140969472"/>
      </c:scatterChart>
      <c:valAx>
        <c:axId val="140967936"/>
        <c:scaling>
          <c:orientation val="minMax"/>
        </c:scaling>
        <c:delete val="0"/>
        <c:axPos val="b"/>
        <c:majorGridlines>
          <c:spPr>
            <a:ln w="9525"/>
          </c:spPr>
        </c:majorGridlines>
        <c:minorGridlines>
          <c:spPr>
            <a:ln w="6350">
              <a:prstDash val="dash"/>
            </a:ln>
          </c:spPr>
        </c:min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0969472"/>
        <c:crossesAt val="0"/>
        <c:crossBetween val="midCat"/>
      </c:valAx>
      <c:valAx>
        <c:axId val="140969472"/>
        <c:scaling>
          <c:orientation val="minMax"/>
        </c:scaling>
        <c:delete val="0"/>
        <c:axPos val="l"/>
        <c:majorGridlines>
          <c:spPr>
            <a:ln w="9525"/>
          </c:spPr>
        </c:majorGridlines>
        <c:minorGridlines>
          <c:spPr>
            <a:ln w="6350">
              <a:prstDash val="dash"/>
            </a:ln>
          </c:spPr>
        </c:minorGridlines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ru-RU"/>
          </a:p>
        </c:txPr>
        <c:crossAx val="140967936"/>
        <c:crossesAt val="0"/>
        <c:crossBetween val="midCat"/>
      </c:valAx>
      <c:spPr>
        <a:solidFill>
          <a:srgbClr val="FFFFFF"/>
        </a:solidFill>
      </c:spPr>
    </c:plotArea>
    <c:legend>
      <c:legendPos val="r"/>
      <c:layout>
        <c:manualLayout>
          <c:xMode val="edge"/>
          <c:yMode val="edge"/>
          <c:x val="0.73389805482300985"/>
          <c:y val="0.59442224956366452"/>
          <c:w val="0.26475076854460305"/>
          <c:h val="0.40443700945331973"/>
        </c:manualLayout>
      </c:layout>
      <c:overlay val="0"/>
      <c:txPr>
        <a:bodyPr/>
        <a:lstStyle/>
        <a:p>
          <a:pPr>
            <a:defRPr sz="12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'РС при КЗ на землю'!$AD$67</c:f>
          <c:strCache>
            <c:ptCount val="1"/>
            <c:pt idx="0">
              <c:v>Характеристика РС
при КЗ на землю.
Уставки РС:
   - Xуст = 4 Ом,
   - Rуст = 2 Ом,
   - fi_1 = 70°,
   - fi_2 = -20°,
   - fi_3 = 115°,
   - fi_4 = -12°,
   - Rнагр = 1,2 Ом,
   - fi_нагр = 10°,
   - Kr = 0,15,
   - Kx = 0,578.</c:v>
            </c:pt>
          </c:strCache>
        </c:strRef>
      </c:tx>
      <c:layout>
        <c:manualLayout>
          <c:xMode val="edge"/>
          <c:yMode val="edge"/>
          <c:x val="0.80952889623605639"/>
          <c:y val="4.035577301625369E-2"/>
        </c:manualLayout>
      </c:layout>
      <c:overlay val="0"/>
      <c:txPr>
        <a:bodyPr/>
        <a:lstStyle/>
        <a:p>
          <a:pPr algn="l">
            <a:defRPr sz="1200">
              <a:latin typeface="Arial" pitchFamily="34" charset="0"/>
              <a:cs typeface="Arial" pitchFamily="34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3.9404720018112099E-2"/>
          <c:y val="4.5396851591241655E-2"/>
          <c:w val="0.68502148114235395"/>
          <c:h val="0.91901024834707778"/>
        </c:manualLayout>
      </c:layout>
      <c:scatterChart>
        <c:scatterStyle val="lineMarker"/>
        <c:varyColors val="0"/>
        <c:ser>
          <c:idx val="3"/>
          <c:order val="0"/>
          <c:tx>
            <c:v>Характеристика РС (Zф)</c:v>
          </c:tx>
          <c:spPr>
            <a:ln w="28575">
              <a:solidFill>
                <a:schemeClr val="accent1"/>
              </a:solidFill>
              <a:prstDash val="solid"/>
            </a:ln>
          </c:spPr>
          <c:marker>
            <c:symbol val="none"/>
          </c:marker>
          <c:xVal>
            <c:numRef>
              <c:f>'РС при КЗ на землю'!$W$50:$AG$50</c:f>
              <c:numCache>
                <c:formatCode>0.000</c:formatCode>
                <c:ptCount val="11"/>
                <c:pt idx="0">
                  <c:v>0</c:v>
                </c:pt>
                <c:pt idx="1">
                  <c:v>2.0311998482407847</c:v>
                </c:pt>
                <c:pt idx="2">
                  <c:v>2.1615577299542892</c:v>
                </c:pt>
                <c:pt idx="3">
                  <c:v>1.3801690140845069</c:v>
                </c:pt>
                <c:pt idx="4">
                  <c:v>1.3801690140845069</c:v>
                </c:pt>
                <c:pt idx="5">
                  <c:v>2.4580327571687608</c:v>
                </c:pt>
                <c:pt idx="6">
                  <c:v>3.79404036193232</c:v>
                </c:pt>
                <c:pt idx="7">
                  <c:v>1.4582142857142864</c:v>
                </c:pt>
                <c:pt idx="8">
                  <c:v>-0.62581355886320555</c:v>
                </c:pt>
                <c:pt idx="9">
                  <c:v>-1.2919035636351117</c:v>
                </c:pt>
                <c:pt idx="10">
                  <c:v>0</c:v>
                </c:pt>
              </c:numCache>
            </c:numRef>
          </c:xVal>
          <c:yVal>
            <c:numRef>
              <c:f>'РС при КЗ на землю'!$W$51:$AG$51</c:f>
              <c:numCache>
                <c:formatCode>0.000</c:formatCode>
                <c:ptCount val="11"/>
                <c:pt idx="0">
                  <c:v>0</c:v>
                </c:pt>
                <c:pt idx="1">
                  <c:v>-1.0142652824512184</c:v>
                </c:pt>
                <c:pt idx="2">
                  <c:v>-0.52290000569279216</c:v>
                </c:pt>
                <c:pt idx="3">
                  <c:v>-0.33387513797147844</c:v>
                </c:pt>
                <c:pt idx="4">
                  <c:v>0.33387513797147844</c:v>
                </c:pt>
                <c:pt idx="5">
                  <c:v>0.59461994695084786</c:v>
                </c:pt>
                <c:pt idx="6">
                  <c:v>5.6305083630327264</c:v>
                </c:pt>
                <c:pt idx="7">
                  <c:v>6.3116666666666665</c:v>
                </c:pt>
                <c:pt idx="8">
                  <c:v>6.3116666666666665</c:v>
                </c:pt>
                <c:pt idx="9">
                  <c:v>3.800936243322707</c:v>
                </c:pt>
                <c:pt idx="10">
                  <c:v>0</c:v>
                </c:pt>
              </c:numCache>
            </c:numRef>
          </c:yVal>
          <c:smooth val="0"/>
        </c:ser>
        <c:ser>
          <c:idx val="0"/>
          <c:order val="1"/>
          <c:tx>
            <c:v>Характеристика РС (Zкз0)</c:v>
          </c:tx>
          <c:spPr>
            <a:ln w="19050">
              <a:solidFill>
                <a:schemeClr val="accent1"/>
              </a:solidFill>
              <a:prstDash val="lgDash"/>
            </a:ln>
          </c:spPr>
          <c:marker>
            <c:symbol val="none"/>
          </c:marker>
          <c:xVal>
            <c:numRef>
              <c:f>'РС при КЗ на землю'!$W$48:$AG$48</c:f>
              <c:numCache>
                <c:formatCode>0.000</c:formatCode>
                <c:ptCount val="11"/>
                <c:pt idx="0">
                  <c:v>0</c:v>
                </c:pt>
                <c:pt idx="1">
                  <c:v>1.7660444431189779</c:v>
                </c:pt>
                <c:pt idx="2">
                  <c:v>1.8793852415718166</c:v>
                </c:pt>
                <c:pt idx="3">
                  <c:v>1.2</c:v>
                </c:pt>
                <c:pt idx="4">
                  <c:v>1.2</c:v>
                </c:pt>
                <c:pt idx="5">
                  <c:v>2.1371580426032577</c:v>
                </c:pt>
                <c:pt idx="6">
                  <c:v>3.2987615196815421</c:v>
                </c:pt>
                <c:pt idx="7">
                  <c:v>1.2678571428571432</c:v>
                </c:pt>
                <c:pt idx="8">
                  <c:v>-0.54411906293519019</c:v>
                </c:pt>
                <c:pt idx="9">
                  <c:v>-1.1232568334324384</c:v>
                </c:pt>
                <c:pt idx="10">
                  <c:v>0</c:v>
                </c:pt>
              </c:numCache>
            </c:numRef>
          </c:xVal>
          <c:yVal>
            <c:numRef>
              <c:f>'РС при КЗ на землю'!$W$49:$AG$49</c:f>
              <c:numCache>
                <c:formatCode>0.000</c:formatCode>
                <c:ptCount val="11"/>
                <c:pt idx="0">
                  <c:v>0</c:v>
                </c:pt>
                <c:pt idx="1">
                  <c:v>-0.64278760968653925</c:v>
                </c:pt>
                <c:pt idx="2">
                  <c:v>-0.33138632523440748</c:v>
                </c:pt>
                <c:pt idx="3">
                  <c:v>-0.21159237685015797</c:v>
                </c:pt>
                <c:pt idx="4">
                  <c:v>0.21159237685015797</c:v>
                </c:pt>
                <c:pt idx="5">
                  <c:v>0.37683862494904541</c:v>
                </c:pt>
                <c:pt idx="6">
                  <c:v>3.5683179485816061</c:v>
                </c:pt>
                <c:pt idx="7">
                  <c:v>4</c:v>
                </c:pt>
                <c:pt idx="8">
                  <c:v>4</c:v>
                </c:pt>
                <c:pt idx="9">
                  <c:v>2.4088320528055176</c:v>
                </c:pt>
                <c:pt idx="10">
                  <c:v>0</c:v>
                </c:pt>
              </c:numCache>
            </c:numRef>
          </c:yVal>
          <c:smooth val="0"/>
        </c:ser>
        <c:ser>
          <c:idx val="1"/>
          <c:order val="2"/>
          <c:tx>
            <c:v>Контрольные точки (Zф)</c:v>
          </c:tx>
          <c:spPr>
            <a:ln w="28575">
              <a:noFill/>
            </a:ln>
          </c:spPr>
          <c:marker>
            <c:symbol val="circle"/>
            <c:size val="7"/>
          </c:marker>
          <c:xVal>
            <c:numRef>
              <c:f>'РС при КЗ на землю'!$W$54:$AE$54</c:f>
              <c:numCache>
                <c:formatCode>0.000</c:formatCode>
                <c:ptCount val="9"/>
                <c:pt idx="0">
                  <c:v>1.7893244197026186</c:v>
                </c:pt>
                <c:pt idx="1">
                  <c:v>1.3801690140845069</c:v>
                </c:pt>
                <c:pt idx="2">
                  <c:v>2.1383223051776667</c:v>
                </c:pt>
                <c:pt idx="3">
                  <c:v>2.5033252076913102</c:v>
                </c:pt>
                <c:pt idx="4">
                  <c:v>3.6056267871996139</c:v>
                </c:pt>
                <c:pt idx="5">
                  <c:v>3.5608281186061199</c:v>
                </c:pt>
                <c:pt idx="6">
                  <c:v>1.6743200063021226</c:v>
                </c:pt>
                <c:pt idx="7">
                  <c:v>0</c:v>
                </c:pt>
                <c:pt idx="8">
                  <c:v>-1.1585164387820244</c:v>
                </c:pt>
              </c:numCache>
            </c:numRef>
          </c:xVal>
          <c:yVal>
            <c:numRef>
              <c:f>'РС при КЗ на землю'!$W$55:$AE$55</c:f>
              <c:numCache>
                <c:formatCode>0.000</c:formatCode>
                <c:ptCount val="9"/>
                <c:pt idx="0">
                  <c:v>-0.89348649741106179</c:v>
                </c:pt>
                <c:pt idx="1">
                  <c:v>0</c:v>
                </c:pt>
                <c:pt idx="2">
                  <c:v>0.51727915014977255</c:v>
                </c:pt>
                <c:pt idx="3">
                  <c:v>0.76534332166010677</c:v>
                </c:pt>
                <c:pt idx="4">
                  <c:v>4.9203105055909404</c:v>
                </c:pt>
                <c:pt idx="5">
                  <c:v>5.6985161901856554</c:v>
                </c:pt>
                <c:pt idx="6">
                  <c:v>6.2486473316485656</c:v>
                </c:pt>
                <c:pt idx="7">
                  <c:v>6.3116666666666665</c:v>
                </c:pt>
                <c:pt idx="8">
                  <c:v>3.4084952194585543</c:v>
                </c:pt>
              </c:numCache>
            </c:numRef>
          </c:yVal>
          <c:smooth val="0"/>
        </c:ser>
        <c:ser>
          <c:idx val="2"/>
          <c:order val="3"/>
          <c:tx>
            <c:v>Проверочная точка (Zф)</c:v>
          </c:tx>
          <c:spPr>
            <a:ln w="28575">
              <a:noFill/>
            </a:ln>
          </c:spPr>
          <c:marker>
            <c:symbol val="diamond"/>
            <c:size val="8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'РС при КЗ на землю'!$AB$26</c:f>
              <c:numCache>
                <c:formatCode>0.000</c:formatCode>
                <c:ptCount val="1"/>
                <c:pt idx="0">
                  <c:v>3.6861841993004631</c:v>
                </c:pt>
              </c:numCache>
            </c:numRef>
          </c:xVal>
          <c:yVal>
            <c:numRef>
              <c:f>'РС при КЗ на землю'!$AC$26</c:f>
              <c:numCache>
                <c:formatCode>0.000</c:formatCode>
                <c:ptCount val="1"/>
                <c:pt idx="0">
                  <c:v>2.5810939635797072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953280"/>
        <c:axId val="141959552"/>
      </c:scatterChart>
      <c:valAx>
        <c:axId val="141953280"/>
        <c:scaling>
          <c:orientation val="minMax"/>
        </c:scaling>
        <c:delete val="0"/>
        <c:axPos val="b"/>
        <c:majorGridlines/>
        <c:minorGridlines>
          <c:spPr>
            <a:ln w="6350">
              <a:prstDash val="dash"/>
            </a:ln>
          </c:spPr>
        </c:min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1959552"/>
        <c:crosses val="autoZero"/>
        <c:crossBetween val="midCat"/>
      </c:valAx>
      <c:valAx>
        <c:axId val="141959552"/>
        <c:scaling>
          <c:orientation val="minMax"/>
        </c:scaling>
        <c:delete val="0"/>
        <c:axPos val="l"/>
        <c:majorGridlines>
          <c:spPr>
            <a:ln w="9525"/>
          </c:spPr>
        </c:majorGridlines>
        <c:minorGridlines>
          <c:spPr>
            <a:ln w="6350">
              <a:prstDash val="dash"/>
            </a:ln>
          </c:spPr>
        </c:minorGridlines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ru-RU"/>
          </a:p>
        </c:txPr>
        <c:crossAx val="141953280"/>
        <c:crosses val="autoZero"/>
        <c:crossBetween val="midCat"/>
      </c:valAx>
      <c:spPr>
        <a:solidFill>
          <a:srgbClr val="FFFFFF"/>
        </a:solidFill>
      </c:spPr>
    </c:plotArea>
    <c:legend>
      <c:legendPos val="r"/>
      <c:layout>
        <c:manualLayout>
          <c:xMode val="edge"/>
          <c:yMode val="edge"/>
          <c:x val="0.74668361490237412"/>
          <c:y val="0.77570879584974239"/>
          <c:w val="0.25126320294202364"/>
          <c:h val="0.224229087508193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'РС при КЗ на землю'!$AD$68</c:f>
          <c:strCache>
            <c:ptCount val="1"/>
            <c:pt idx="0">
              <c:v>Характеристики уставок
рабочей области РС.
Уставки РС:
   - Xуст = 4 Ом,
   - Rуст = 2 Ом,
   - fi_1 = 70°,
   - fi_2 = -20°,
   - fi_3 = 115°,
   - fi_4 = -12°,
   - Rнагр = 1,2 Ом,
   - fi_нагр = 10°,
   - Kr = 0,15,
   - Kx = 0,578.</c:v>
            </c:pt>
          </c:strCache>
        </c:strRef>
      </c:tx>
      <c:layout>
        <c:manualLayout>
          <c:xMode val="edge"/>
          <c:yMode val="edge"/>
          <c:x val="0.79289895515470099"/>
          <c:y val="5.3158850466573482E-2"/>
        </c:manualLayout>
      </c:layout>
      <c:overlay val="0"/>
      <c:spPr>
        <a:ln>
          <a:noFill/>
        </a:ln>
      </c:spPr>
      <c:txPr>
        <a:bodyPr anchor="t" anchorCtr="0"/>
        <a:lstStyle/>
        <a:p>
          <a:pPr algn="l">
            <a:defRPr sz="1200">
              <a:latin typeface="Arial" pitchFamily="34" charset="0"/>
              <a:cs typeface="Arial" pitchFamily="34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3.9404720018112099E-2"/>
          <c:y val="4.5396851591241655E-2"/>
          <c:w val="0.68231908001481867"/>
          <c:h val="0.91901024834707778"/>
        </c:manualLayout>
      </c:layout>
      <c:scatterChart>
        <c:scatterStyle val="lineMarker"/>
        <c:varyColors val="0"/>
        <c:ser>
          <c:idx val="0"/>
          <c:order val="0"/>
          <c:tx>
            <c:strRef>
              <c:f>'РС при КЗ на землю'!$V$65</c:f>
              <c:strCache>
                <c:ptCount val="1"/>
                <c:pt idx="0">
                  <c:v>Характеристика РС (Xуст,Rуст,fi_1)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'РС при КЗ на землю'!$W$66:$AA$66</c:f>
              <c:numCache>
                <c:formatCode>0.000</c:formatCode>
                <c:ptCount val="5"/>
                <c:pt idx="0">
                  <c:v>-3.974749821418484</c:v>
                </c:pt>
                <c:pt idx="1">
                  <c:v>-0.62581355886320589</c:v>
                </c:pt>
                <c:pt idx="2">
                  <c:v>3.974749821418484</c:v>
                </c:pt>
                <c:pt idx="3">
                  <c:v>0.62581355886320589</c:v>
                </c:pt>
                <c:pt idx="4">
                  <c:v>-3.974749821418484</c:v>
                </c:pt>
              </c:numCache>
            </c:numRef>
          </c:xVal>
          <c:yVal>
            <c:numRef>
              <c:f>'РС при КЗ на землю'!$W$67:$AA$67</c:f>
              <c:numCache>
                <c:formatCode>0.000</c:formatCode>
                <c:ptCount val="5"/>
                <c:pt idx="0">
                  <c:v>-6.3116666666666665</c:v>
                </c:pt>
                <c:pt idx="1">
                  <c:v>6.3116666666666665</c:v>
                </c:pt>
                <c:pt idx="2">
                  <c:v>6.3116666666666665</c:v>
                </c:pt>
                <c:pt idx="3">
                  <c:v>-6.3116666666666665</c:v>
                </c:pt>
                <c:pt idx="4">
                  <c:v>-6.3116666666666665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'РС при КЗ на землю'!$Z$70</c:f>
              <c:strCache>
                <c:ptCount val="1"/>
                <c:pt idx="0">
                  <c:v>Характеристика РС (fi_2)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xVal>
            <c:numRef>
              <c:f>'РС при КЗ на землю'!$AA$71:$AB$71</c:f>
              <c:numCache>
                <c:formatCode>0.000</c:formatCode>
                <c:ptCount val="2"/>
                <c:pt idx="0">
                  <c:v>0</c:v>
                </c:pt>
                <c:pt idx="1">
                  <c:v>4.3999999999999995</c:v>
                </c:pt>
              </c:numCache>
            </c:numRef>
          </c:xVal>
          <c:yVal>
            <c:numRef>
              <c:f>'РС при КЗ на землю'!$AA$72:$AB$72</c:f>
              <c:numCache>
                <c:formatCode>0.000</c:formatCode>
                <c:ptCount val="2"/>
                <c:pt idx="0">
                  <c:v>0</c:v>
                </c:pt>
                <c:pt idx="1">
                  <c:v>-2.1971088894332818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'РС при КЗ на землю'!$AD$70</c:f>
              <c:strCache>
                <c:ptCount val="1"/>
                <c:pt idx="0">
                  <c:v>Характеристика РС (fi_3)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'РС при КЗ на землю'!$AE$71:$AF$71</c:f>
              <c:numCache>
                <c:formatCode>0.000</c:formatCode>
                <c:ptCount val="2"/>
                <c:pt idx="0">
                  <c:v>0</c:v>
                </c:pt>
                <c:pt idx="1">
                  <c:v>-2.3792361582840647</c:v>
                </c:pt>
              </c:numCache>
            </c:numRef>
          </c:xVal>
          <c:yVal>
            <c:numRef>
              <c:f>'РС при КЗ на землю'!$AE$72:$AF$72</c:f>
              <c:numCache>
                <c:formatCode>0.000</c:formatCode>
                <c:ptCount val="2"/>
                <c:pt idx="0">
                  <c:v>0</c:v>
                </c:pt>
                <c:pt idx="1">
                  <c:v>7</c:v>
                </c:pt>
              </c:numCache>
            </c:numRef>
          </c:yVal>
          <c:smooth val="0"/>
        </c:ser>
        <c:ser>
          <c:idx val="6"/>
          <c:order val="3"/>
          <c:tx>
            <c:strRef>
              <c:f>'РС при КЗ на землю'!$Z$78</c:f>
              <c:strCache>
                <c:ptCount val="1"/>
                <c:pt idx="0">
                  <c:v>Характеристика РС (fi_4)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'РС при КЗ на землю'!$AA$79:$AB$79</c:f>
              <c:numCache>
                <c:formatCode>0.000</c:formatCode>
                <c:ptCount val="2"/>
                <c:pt idx="0">
                  <c:v>1.4582142857142864</c:v>
                </c:pt>
                <c:pt idx="1">
                  <c:v>4.9086368209255538</c:v>
                </c:pt>
              </c:numCache>
            </c:numRef>
          </c:xVal>
          <c:yVal>
            <c:numRef>
              <c:f>'РС при КЗ на землю'!$AA$80:$AB$80</c:f>
              <c:numCache>
                <c:formatCode>0.000</c:formatCode>
                <c:ptCount val="2"/>
                <c:pt idx="0">
                  <c:v>6.3116666666666665</c:v>
                </c:pt>
                <c:pt idx="1">
                  <c:v>5.3054770428611988</c:v>
                </c:pt>
              </c:numCache>
            </c:numRef>
          </c:yVal>
          <c:smooth val="0"/>
        </c:ser>
        <c:ser>
          <c:idx val="1"/>
          <c:order val="4"/>
          <c:tx>
            <c:strRef>
              <c:f>'РС при КЗ на землю'!$V$74</c:f>
              <c:strCache>
                <c:ptCount val="1"/>
                <c:pt idx="0">
                  <c:v>Область нагрузки (Rнагр, fi_нагр)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xVal>
            <c:numRef>
              <c:f>'РС при КЗ на землю'!$W$75:$Z$75</c:f>
              <c:numCache>
                <c:formatCode>0.000</c:formatCode>
                <c:ptCount val="4"/>
                <c:pt idx="0">
                  <c:v>3.6804507042253518</c:v>
                </c:pt>
                <c:pt idx="1">
                  <c:v>1.3801690140845069</c:v>
                </c:pt>
                <c:pt idx="2">
                  <c:v>1.3801690140845069</c:v>
                </c:pt>
                <c:pt idx="3">
                  <c:v>3.6804507042253518</c:v>
                </c:pt>
              </c:numCache>
            </c:numRef>
          </c:xVal>
          <c:yVal>
            <c:numRef>
              <c:f>'РС при КЗ на землю'!$W$76:$Z$76</c:f>
              <c:numCache>
                <c:formatCode>0.000</c:formatCode>
                <c:ptCount val="4"/>
                <c:pt idx="0">
                  <c:v>0.89033370125727573</c:v>
                </c:pt>
                <c:pt idx="1">
                  <c:v>0.33387513797147839</c:v>
                </c:pt>
                <c:pt idx="2">
                  <c:v>-0.33387513797147839</c:v>
                </c:pt>
                <c:pt idx="3">
                  <c:v>-0.89033370125727573</c:v>
                </c:pt>
              </c:numCache>
            </c:numRef>
          </c:yVal>
          <c:smooth val="0"/>
        </c:ser>
        <c:ser>
          <c:idx val="4"/>
          <c:order val="5"/>
          <c:tx>
            <c:strRef>
              <c:f>'РС при КЗ на землю'!$V$70</c:f>
              <c:strCache>
                <c:ptCount val="1"/>
                <c:pt idx="0">
                  <c:v>ось fi_1</c:v>
                </c:pt>
              </c:strCache>
            </c:strRef>
          </c:tx>
          <c:spPr>
            <a:ln w="19050">
              <a:solidFill>
                <a:schemeClr val="accent1"/>
              </a:solidFill>
              <a:prstDash val="lgDash"/>
            </a:ln>
          </c:spPr>
          <c:marker>
            <c:symbol val="none"/>
          </c:marker>
          <c:xVal>
            <c:numRef>
              <c:f>'РС при КЗ на землю'!$W$71:$X$71</c:f>
              <c:numCache>
                <c:formatCode>0.000</c:formatCode>
                <c:ptCount val="2"/>
                <c:pt idx="0">
                  <c:v>-1.674468131277639</c:v>
                </c:pt>
                <c:pt idx="1">
                  <c:v>1.674468131277639</c:v>
                </c:pt>
              </c:numCache>
            </c:numRef>
          </c:xVal>
          <c:yVal>
            <c:numRef>
              <c:f>'РС при КЗ на землю'!$W$72:$X$72</c:f>
              <c:numCache>
                <c:formatCode>0.000</c:formatCode>
                <c:ptCount val="2"/>
                <c:pt idx="0">
                  <c:v>-6.3116666666666665</c:v>
                </c:pt>
                <c:pt idx="1">
                  <c:v>6.3116666666666665</c:v>
                </c:pt>
              </c:numCache>
            </c:numRef>
          </c:yVal>
          <c:smooth val="0"/>
        </c:ser>
        <c:ser>
          <c:idx val="5"/>
          <c:order val="6"/>
          <c:tx>
            <c:strRef>
              <c:f>'РС при КЗ на землю'!$V$78</c:f>
              <c:strCache>
                <c:ptCount val="1"/>
                <c:pt idx="0">
                  <c:v>ось fi_линии</c:v>
                </c:pt>
              </c:strCache>
            </c:strRef>
          </c:tx>
          <c:spPr>
            <a:ln w="19050"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  <c:marker>
            <c:symbol val="none"/>
          </c:marker>
          <c:xVal>
            <c:numRef>
              <c:f>'РС при КЗ на землю'!$W$79:$X$79</c:f>
              <c:numCache>
                <c:formatCode>0.000</c:formatCode>
                <c:ptCount val="2"/>
                <c:pt idx="0">
                  <c:v>0</c:v>
                </c:pt>
                <c:pt idx="1">
                  <c:v>1.4582142857142864</c:v>
                </c:pt>
              </c:numCache>
            </c:numRef>
          </c:xVal>
          <c:yVal>
            <c:numRef>
              <c:f>'РС при КЗ на землю'!$W$80:$X$80</c:f>
              <c:numCache>
                <c:formatCode>0.000</c:formatCode>
                <c:ptCount val="2"/>
                <c:pt idx="0">
                  <c:v>0</c:v>
                </c:pt>
                <c:pt idx="1">
                  <c:v>6.3116666666666665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015104"/>
        <c:axId val="142291328"/>
      </c:scatterChart>
      <c:valAx>
        <c:axId val="142015104"/>
        <c:scaling>
          <c:orientation val="minMax"/>
        </c:scaling>
        <c:delete val="0"/>
        <c:axPos val="b"/>
        <c:majorGridlines/>
        <c:minorGridlines>
          <c:spPr>
            <a:ln w="6350">
              <a:prstDash val="dash"/>
            </a:ln>
          </c:spPr>
        </c:min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2291328"/>
        <c:crossesAt val="0"/>
        <c:crossBetween val="midCat"/>
      </c:valAx>
      <c:valAx>
        <c:axId val="142291328"/>
        <c:scaling>
          <c:orientation val="minMax"/>
        </c:scaling>
        <c:delete val="0"/>
        <c:axPos val="l"/>
        <c:majorGridlines/>
        <c:minorGridlines>
          <c:spPr>
            <a:ln w="6350">
              <a:prstDash val="dash"/>
            </a:ln>
          </c:spPr>
        </c:minorGridlines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ru-RU"/>
          </a:p>
        </c:txPr>
        <c:crossAx val="142015104"/>
        <c:crossesAt val="0"/>
        <c:crossBetween val="midCat"/>
      </c:valAx>
      <c:spPr>
        <a:solidFill>
          <a:srgbClr val="FFFFFF"/>
        </a:solidFill>
      </c:spPr>
    </c:plotArea>
    <c:legend>
      <c:legendPos val="r"/>
      <c:layout>
        <c:manualLayout>
          <c:xMode val="edge"/>
          <c:yMode val="edge"/>
          <c:x val="0.73389805482300985"/>
          <c:y val="0.59442224956366452"/>
          <c:w val="0.26475076854460305"/>
          <c:h val="0.40443700945331973"/>
        </c:manualLayout>
      </c:layout>
      <c:overlay val="0"/>
      <c:txPr>
        <a:bodyPr/>
        <a:lstStyle/>
        <a:p>
          <a:pPr>
            <a:defRPr sz="12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'Ненаправленное РС'!$AH$57</c:f>
          <c:strCache>
            <c:ptCount val="1"/>
            <c:pt idx="0">
              <c:v>Характеристика
ненаправленного РС.
Уставки РС:
   - Xуст = 4 Ом,
   - Rуст = 2 Ом,
   - fi_1 = 70°,
   - k см = 0,2 (-0,8 Ом),
   - Rнагр = 1 Ом,
   - fi_нагр = 15°.</c:v>
            </c:pt>
          </c:strCache>
        </c:strRef>
      </c:tx>
      <c:layout>
        <c:manualLayout>
          <c:xMode val="edge"/>
          <c:yMode val="edge"/>
          <c:x val="0.82336267878409475"/>
          <c:y val="2.7835766929443125E-2"/>
        </c:manualLayout>
      </c:layout>
      <c:overlay val="0"/>
      <c:txPr>
        <a:bodyPr/>
        <a:lstStyle/>
        <a:p>
          <a:pPr algn="l"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3.9404720018112099E-2"/>
          <c:y val="6.3675615044738162E-2"/>
          <c:w val="0.58518268663368023"/>
          <c:h val="0.900731517793475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'Ненаправленное РС'!$V$45</c:f>
              <c:strCache>
                <c:ptCount val="1"/>
                <c:pt idx="0">
                  <c:v>Характеристика РС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'Ненаправленное РС'!$W$47:$AI$47</c:f>
              <c:numCache>
                <c:formatCode>0.000</c:formatCode>
                <c:ptCount val="13"/>
                <c:pt idx="0">
                  <c:v>1.7088238125870381</c:v>
                </c:pt>
                <c:pt idx="1">
                  <c:v>1.8222810720214766</c:v>
                </c:pt>
                <c:pt idx="2">
                  <c:v>1</c:v>
                </c:pt>
                <c:pt idx="3">
                  <c:v>1</c:v>
                </c:pt>
                <c:pt idx="4">
                  <c:v>2.2161291728892936</c:v>
                </c:pt>
                <c:pt idx="5">
                  <c:v>3.4558809370648103</c:v>
                </c:pt>
                <c:pt idx="6">
                  <c:v>-0.54411906293519019</c:v>
                </c:pt>
                <c:pt idx="7">
                  <c:v>-1.8222810720214766</c:v>
                </c:pt>
                <c:pt idx="8">
                  <c:v>-1</c:v>
                </c:pt>
                <c:pt idx="9">
                  <c:v>-1</c:v>
                </c:pt>
                <c:pt idx="10">
                  <c:v>-2.2161291728892936</c:v>
                </c:pt>
                <c:pt idx="11">
                  <c:v>-2.2911761874129621</c:v>
                </c:pt>
                <c:pt idx="12">
                  <c:v>1.7088238125870381</c:v>
                </c:pt>
              </c:numCache>
            </c:numRef>
          </c:xVal>
          <c:yVal>
            <c:numRef>
              <c:f>'Ненаправленное РС'!$W$48:$AI$48</c:f>
              <c:numCache>
                <c:formatCode>0.000</c:formatCode>
                <c:ptCount val="13"/>
                <c:pt idx="0">
                  <c:v>-0.8</c:v>
                </c:pt>
                <c:pt idx="1">
                  <c:v>-0.48827874163067519</c:v>
                </c:pt>
                <c:pt idx="2">
                  <c:v>-0.2679491924311227</c:v>
                </c:pt>
                <c:pt idx="3">
                  <c:v>0.2679491924311227</c:v>
                </c:pt>
                <c:pt idx="4">
                  <c:v>0.59381002219873813</c:v>
                </c:pt>
                <c:pt idx="5">
                  <c:v>4.0000000000000009</c:v>
                </c:pt>
                <c:pt idx="6">
                  <c:v>4</c:v>
                </c:pt>
                <c:pt idx="7">
                  <c:v>0.48827874163067569</c:v>
                </c:pt>
                <c:pt idx="8">
                  <c:v>0.26794919243112297</c:v>
                </c:pt>
                <c:pt idx="9">
                  <c:v>-0.2679491924311227</c:v>
                </c:pt>
                <c:pt idx="10">
                  <c:v>-0.59381002219873813</c:v>
                </c:pt>
                <c:pt idx="11">
                  <c:v>-0.8</c:v>
                </c:pt>
                <c:pt idx="12">
                  <c:v>-0.8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'Ненаправленное РС'!$V$54</c:f>
              <c:strCache>
                <c:ptCount val="1"/>
                <c:pt idx="0">
                  <c:v>Контрольные точки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</c:marker>
          <c:xVal>
            <c:numRef>
              <c:f>'Ненаправленное РС'!$W$56:$AD$56</c:f>
              <c:numCache>
                <c:formatCode>0.000</c:formatCode>
                <c:ptCount val="8"/>
                <c:pt idx="0">
                  <c:v>0</c:v>
                </c:pt>
                <c:pt idx="1">
                  <c:v>1</c:v>
                </c:pt>
                <c:pt idx="2">
                  <c:v>1.8352590699492297</c:v>
                </c:pt>
                <c:pt idx="3">
                  <c:v>2.2682451634636815</c:v>
                </c:pt>
                <c:pt idx="4">
                  <c:v>3.239429394373861</c:v>
                </c:pt>
                <c:pt idx="5">
                  <c:v>0</c:v>
                </c:pt>
                <c:pt idx="6">
                  <c:v>-1</c:v>
                </c:pt>
                <c:pt idx="7">
                  <c:v>-1.8352590699492297</c:v>
                </c:pt>
              </c:numCache>
            </c:numRef>
          </c:xVal>
          <c:yVal>
            <c:numRef>
              <c:f>'Ненаправленное РС'!$W$57:$AD$57</c:f>
              <c:numCache>
                <c:formatCode>0.000</c:formatCode>
                <c:ptCount val="8"/>
                <c:pt idx="0">
                  <c:v>-0.8</c:v>
                </c:pt>
                <c:pt idx="1">
                  <c:v>0</c:v>
                </c:pt>
                <c:pt idx="2">
                  <c:v>0.49175618569478941</c:v>
                </c:pt>
                <c:pt idx="3">
                  <c:v>0.73699752949437825</c:v>
                </c:pt>
                <c:pt idx="4">
                  <c:v>3.4053042740505002</c:v>
                </c:pt>
                <c:pt idx="5">
                  <c:v>4</c:v>
                </c:pt>
                <c:pt idx="6">
                  <c:v>0</c:v>
                </c:pt>
                <c:pt idx="7">
                  <c:v>-0.49175618569478941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'Ненаправленное РС'!$V$16</c:f>
              <c:strCache>
                <c:ptCount val="1"/>
                <c:pt idx="0">
                  <c:v>Проверочная точка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8"/>
            <c:spPr>
              <a:solidFill>
                <a:srgbClr val="FF0000"/>
              </a:solidFill>
              <a:ln w="12700">
                <a:noFill/>
              </a:ln>
            </c:spPr>
          </c:marker>
          <c:xVal>
            <c:numRef>
              <c:f>'Ненаправленное РС'!$Y$26</c:f>
              <c:numCache>
                <c:formatCode>0.000</c:formatCode>
                <c:ptCount val="1"/>
                <c:pt idx="0">
                  <c:v>1.5000000000000004</c:v>
                </c:pt>
              </c:numCache>
            </c:numRef>
          </c:xVal>
          <c:yVal>
            <c:numRef>
              <c:f>'Ненаправленное РС'!$Z$26</c:f>
              <c:numCache>
                <c:formatCode>0.000</c:formatCode>
                <c:ptCount val="1"/>
                <c:pt idx="0">
                  <c:v>2.598076211353316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3514624"/>
        <c:axId val="223516544"/>
      </c:scatterChart>
      <c:valAx>
        <c:axId val="223514624"/>
        <c:scaling>
          <c:orientation val="minMax"/>
        </c:scaling>
        <c:delete val="0"/>
        <c:axPos val="b"/>
        <c:majorGridlines/>
        <c:minorGridlines>
          <c:spPr>
            <a:ln w="6350">
              <a:prstDash val="dash"/>
            </a:ln>
          </c:spPr>
        </c:min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3516544"/>
        <c:crosses val="autoZero"/>
        <c:crossBetween val="midCat"/>
      </c:valAx>
      <c:valAx>
        <c:axId val="223516544"/>
        <c:scaling>
          <c:orientation val="minMax"/>
        </c:scaling>
        <c:delete val="0"/>
        <c:axPos val="l"/>
        <c:majorGridlines/>
        <c:minorGridlines>
          <c:spPr>
            <a:ln w="6350">
              <a:prstDash val="dash"/>
            </a:ln>
          </c:spPr>
        </c:minorGridlines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ru-RU"/>
          </a:p>
        </c:txPr>
        <c:crossAx val="223514624"/>
        <c:crosses val="autoZero"/>
        <c:crossBetween val="midCat"/>
      </c:valAx>
      <c:spPr>
        <a:solidFill>
          <a:srgbClr val="FFFFFF"/>
        </a:solidFill>
      </c:spPr>
    </c:plotArea>
    <c:legend>
      <c:legendPos val="r"/>
      <c:legendEntry>
        <c:idx val="0"/>
        <c:txPr>
          <a:bodyPr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</c:legendEntry>
      <c:layout>
        <c:manualLayout>
          <c:xMode val="edge"/>
          <c:yMode val="edge"/>
          <c:x val="0.75932947148126306"/>
          <c:y val="0.84252510296676675"/>
          <c:w val="0.22075658820327604"/>
          <c:h val="0.133157980178303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'Ненаправленное РС'!$AH$58</c:f>
          <c:strCache>
            <c:ptCount val="1"/>
            <c:pt idx="0">
              <c:v>Характеристики уставок
рабочей области РС.
Уставки РС:
   - Xуст = 4 Ом,
   - Rуст = 2 Ом,
   - fi_1 = 70°,
   - k см = 0,2 (-0,8 Ом),
   - Rнагр = 1 Ом,
   - fi_нагр = 15°.</c:v>
            </c:pt>
          </c:strCache>
        </c:strRef>
      </c:tx>
      <c:layout>
        <c:manualLayout>
          <c:xMode val="edge"/>
          <c:yMode val="edge"/>
          <c:x val="0.79289895515470099"/>
          <c:y val="5.3158850466573482E-2"/>
        </c:manualLayout>
      </c:layout>
      <c:overlay val="0"/>
      <c:spPr>
        <a:ln>
          <a:noFill/>
        </a:ln>
      </c:spPr>
      <c:txPr>
        <a:bodyPr anchor="t" anchorCtr="0"/>
        <a:lstStyle/>
        <a:p>
          <a:pPr algn="l">
            <a:defRPr sz="1200">
              <a:latin typeface="Arial" pitchFamily="34" charset="0"/>
              <a:cs typeface="Arial" pitchFamily="34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3.5857093812273401E-2"/>
          <c:y val="4.5396841582421785E-2"/>
          <c:w val="0.59007962894144261"/>
          <c:h val="0.91901024834707778"/>
        </c:manualLayout>
      </c:layout>
      <c:scatterChart>
        <c:scatterStyle val="lineMarker"/>
        <c:varyColors val="0"/>
        <c:ser>
          <c:idx val="0"/>
          <c:order val="0"/>
          <c:tx>
            <c:strRef>
              <c:f>'Ненаправленное РС'!$V$66</c:f>
              <c:strCache>
                <c:ptCount val="1"/>
                <c:pt idx="0">
                  <c:v>Характеристика РС (Xуст,Rуст,fi_1)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'Ненаправленное РС'!$W$67:$AA$67</c:f>
              <c:numCache>
                <c:formatCode>0.000</c:formatCode>
                <c:ptCount val="5"/>
                <c:pt idx="0">
                  <c:v>-3.4558809370648098</c:v>
                </c:pt>
                <c:pt idx="1">
                  <c:v>-0.54411906293519019</c:v>
                </c:pt>
                <c:pt idx="2">
                  <c:v>3.4558809370648098</c:v>
                </c:pt>
                <c:pt idx="3">
                  <c:v>0.54411906293519019</c:v>
                </c:pt>
                <c:pt idx="4">
                  <c:v>-3.4558809370648098</c:v>
                </c:pt>
              </c:numCache>
            </c:numRef>
          </c:xVal>
          <c:yVal>
            <c:numRef>
              <c:f>'Ненаправленное РС'!$W$68:$AA$68</c:f>
              <c:numCache>
                <c:formatCode>0.000</c:formatCode>
                <c:ptCount val="5"/>
                <c:pt idx="0">
                  <c:v>-4</c:v>
                </c:pt>
                <c:pt idx="1">
                  <c:v>4</c:v>
                </c:pt>
                <c:pt idx="2">
                  <c:v>4</c:v>
                </c:pt>
                <c:pt idx="3">
                  <c:v>-4</c:v>
                </c:pt>
                <c:pt idx="4">
                  <c:v>-4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'Ненаправленное РС'!$V$74</c:f>
              <c:strCache>
                <c:ptCount val="1"/>
                <c:pt idx="0">
                  <c:v>Характеристика РС (k*Xуст)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'Ненаправленное РС'!$W$75:$X$75</c:f>
              <c:numCache>
                <c:formatCode>0.000</c:formatCode>
                <c:ptCount val="2"/>
                <c:pt idx="0">
                  <c:v>-2.8</c:v>
                </c:pt>
                <c:pt idx="1">
                  <c:v>2.2000000000000002</c:v>
                </c:pt>
              </c:numCache>
            </c:numRef>
          </c:xVal>
          <c:yVal>
            <c:numRef>
              <c:f>'Ненаправленное РС'!$W$76:$X$76</c:f>
              <c:numCache>
                <c:formatCode>0.000</c:formatCode>
                <c:ptCount val="2"/>
                <c:pt idx="0">
                  <c:v>-0.8</c:v>
                </c:pt>
                <c:pt idx="1">
                  <c:v>-0.8</c:v>
                </c:pt>
              </c:numCache>
            </c:numRef>
          </c:yVal>
          <c:smooth val="0"/>
        </c:ser>
        <c:ser>
          <c:idx val="1"/>
          <c:order val="2"/>
          <c:tx>
            <c:strRef>
              <c:f>'Ненаправленное РС'!$V$82</c:f>
              <c:strCache>
                <c:ptCount val="1"/>
                <c:pt idx="0">
                  <c:v>Область нагрузки (Rнагр, fi_нагр) правая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xVal>
            <c:numRef>
              <c:f>'Ненаправленное РС'!$W$83:$Z$83</c:f>
              <c:numCache>
                <c:formatCode>0.000</c:formatCode>
                <c:ptCount val="4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</c:numCache>
            </c:numRef>
          </c:xVal>
          <c:yVal>
            <c:numRef>
              <c:f>'Ненаправленное РС'!$W$84:$Z$84</c:f>
              <c:numCache>
                <c:formatCode>0.000</c:formatCode>
                <c:ptCount val="4"/>
                <c:pt idx="0">
                  <c:v>0.80384757729336809</c:v>
                </c:pt>
                <c:pt idx="1">
                  <c:v>0.2679491924311227</c:v>
                </c:pt>
                <c:pt idx="2">
                  <c:v>-0.2679491924311227</c:v>
                </c:pt>
                <c:pt idx="3">
                  <c:v>-0.80384757729336809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'Ненаправленное РС'!$V$78</c:f>
              <c:strCache>
                <c:ptCount val="1"/>
                <c:pt idx="0">
                  <c:v>Область нагрузки (Rнагр, fi_нагр) левая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xVal>
            <c:numRef>
              <c:f>'Ненаправленное РС'!$W$79:$Z$79</c:f>
              <c:numCache>
                <c:formatCode>0.000</c:formatCode>
                <c:ptCount val="4"/>
                <c:pt idx="0">
                  <c:v>-3</c:v>
                </c:pt>
                <c:pt idx="1">
                  <c:v>-1</c:v>
                </c:pt>
                <c:pt idx="2">
                  <c:v>-1</c:v>
                </c:pt>
                <c:pt idx="3">
                  <c:v>-3</c:v>
                </c:pt>
              </c:numCache>
            </c:numRef>
          </c:xVal>
          <c:yVal>
            <c:numRef>
              <c:f>'Ненаправленное РС'!$W$80:$Z$80</c:f>
              <c:numCache>
                <c:formatCode>0.000</c:formatCode>
                <c:ptCount val="4"/>
                <c:pt idx="0">
                  <c:v>0.80384757729336886</c:v>
                </c:pt>
                <c:pt idx="1">
                  <c:v>0.26794919243112297</c:v>
                </c:pt>
                <c:pt idx="2">
                  <c:v>-0.2679491924311227</c:v>
                </c:pt>
                <c:pt idx="3">
                  <c:v>-0.80384757729336809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'Ненаправленное РС'!$V$70</c:f>
              <c:strCache>
                <c:ptCount val="1"/>
                <c:pt idx="0">
                  <c:v>луч fi_1</c:v>
                </c:pt>
              </c:strCache>
            </c:strRef>
          </c:tx>
          <c:spPr>
            <a:ln w="19050">
              <a:solidFill>
                <a:schemeClr val="accent1"/>
              </a:solidFill>
              <a:prstDash val="lgDash"/>
            </a:ln>
          </c:spPr>
          <c:marker>
            <c:symbol val="none"/>
          </c:marker>
          <c:xVal>
            <c:numRef>
              <c:f>'Ненаправленное РС'!$W$71:$X$71</c:f>
              <c:numCache>
                <c:formatCode>0.000</c:formatCode>
                <c:ptCount val="2"/>
                <c:pt idx="0">
                  <c:v>-1.4558809370648098</c:v>
                </c:pt>
                <c:pt idx="1">
                  <c:v>1.4558809370648098</c:v>
                </c:pt>
              </c:numCache>
            </c:numRef>
          </c:xVal>
          <c:yVal>
            <c:numRef>
              <c:f>'Ненаправленное РС'!$W$72:$X$72</c:f>
              <c:numCache>
                <c:formatCode>0.000</c:formatCode>
                <c:ptCount val="2"/>
                <c:pt idx="0">
                  <c:v>-4</c:v>
                </c:pt>
                <c:pt idx="1">
                  <c:v>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3696384"/>
        <c:axId val="223697920"/>
      </c:scatterChart>
      <c:valAx>
        <c:axId val="223696384"/>
        <c:scaling>
          <c:orientation val="minMax"/>
        </c:scaling>
        <c:delete val="0"/>
        <c:axPos val="b"/>
        <c:majorGridlines/>
        <c:minorGridlines>
          <c:spPr>
            <a:ln w="6350">
              <a:prstDash val="dash"/>
            </a:ln>
          </c:spPr>
        </c:min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3697920"/>
        <c:crossesAt val="0"/>
        <c:crossBetween val="midCat"/>
      </c:valAx>
      <c:valAx>
        <c:axId val="223697920"/>
        <c:scaling>
          <c:orientation val="minMax"/>
        </c:scaling>
        <c:delete val="0"/>
        <c:axPos val="l"/>
        <c:majorGridlines/>
        <c:minorGridlines>
          <c:spPr>
            <a:ln w="6350">
              <a:prstDash val="dash"/>
            </a:ln>
          </c:spPr>
        </c:minorGridlines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ru-RU"/>
          </a:p>
        </c:txPr>
        <c:crossAx val="223696384"/>
        <c:crossesAt val="0"/>
        <c:crossBetween val="midCat"/>
      </c:valAx>
      <c:spPr>
        <a:solidFill>
          <a:srgbClr val="FFFFFF"/>
        </a:solidFill>
      </c:spPr>
    </c:plotArea>
    <c:legend>
      <c:legendPos val="r"/>
      <c:layout>
        <c:manualLayout>
          <c:xMode val="edge"/>
          <c:yMode val="edge"/>
          <c:x val="0.67003987266744058"/>
          <c:y val="0.78989539172708667"/>
          <c:w val="0.32641245532703439"/>
          <c:h val="0.19624592804369415"/>
        </c:manualLayout>
      </c:layout>
      <c:overlay val="0"/>
      <c:txPr>
        <a:bodyPr/>
        <a:lstStyle/>
        <a:p>
          <a:pPr>
            <a:defRPr sz="12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'БК dZ_dt'!$AC$34</c:f>
          <c:strCache>
            <c:ptCount val="1"/>
            <c:pt idx="0">
              <c:v>Характеристика БК dZ/dt.
Уставки БК:
   - Xуст = 20 Ом,
   - Rуст = 10 Ом,
   - fi_1 = 70°,
   - dZ = 5 Ом.</c:v>
            </c:pt>
          </c:strCache>
        </c:strRef>
      </c:tx>
      <c:layout>
        <c:manualLayout>
          <c:xMode val="edge"/>
          <c:yMode val="edge"/>
          <c:x val="0.74860197521181415"/>
          <c:y val="1.3728013109712047E-2"/>
        </c:manualLayout>
      </c:layout>
      <c:overlay val="0"/>
      <c:txPr>
        <a:bodyPr/>
        <a:lstStyle/>
        <a:p>
          <a:pPr algn="l"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3.9404720018112099E-2"/>
          <c:y val="4.5396851591241655E-2"/>
          <c:w val="0.59177997292430684"/>
          <c:h val="0.91901024834707778"/>
        </c:manualLayout>
      </c:layout>
      <c:scatterChart>
        <c:scatterStyle val="lineMarker"/>
        <c:varyColors val="0"/>
        <c:ser>
          <c:idx val="0"/>
          <c:order val="0"/>
          <c:tx>
            <c:strRef>
              <c:f>'БК dZ_dt'!$T$39</c:f>
              <c:strCache>
                <c:ptCount val="1"/>
                <c:pt idx="0">
                  <c:v>Характеристика РС (внутр.)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'БК dZ_dt'!$U$41:$AA$41</c:f>
              <c:numCache>
                <c:formatCode>0.000</c:formatCode>
                <c:ptCount val="7"/>
                <c:pt idx="0">
                  <c:v>2.7205953146759514</c:v>
                </c:pt>
                <c:pt idx="1">
                  <c:v>17.279404685324049</c:v>
                </c:pt>
                <c:pt idx="2">
                  <c:v>7.2794046853240486</c:v>
                </c:pt>
                <c:pt idx="3">
                  <c:v>-2.7205953146759514</c:v>
                </c:pt>
                <c:pt idx="4">
                  <c:v>-17.279404685324049</c:v>
                </c:pt>
                <c:pt idx="5">
                  <c:v>-7.2794046853240486</c:v>
                </c:pt>
                <c:pt idx="6">
                  <c:v>2.7205953146759514</c:v>
                </c:pt>
              </c:numCache>
            </c:numRef>
          </c:xVal>
          <c:yVal>
            <c:numRef>
              <c:f>'БК dZ_dt'!$U$42:$AA$42</c:f>
              <c:numCache>
                <c:formatCode>0.000</c:formatCode>
                <c:ptCount val="7"/>
                <c:pt idx="0">
                  <c:v>-20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-20</c:v>
                </c:pt>
                <c:pt idx="5">
                  <c:v>-20</c:v>
                </c:pt>
                <c:pt idx="6">
                  <c:v>-20</c:v>
                </c:pt>
              </c:numCache>
            </c:numRef>
          </c:yVal>
          <c:smooth val="0"/>
        </c:ser>
        <c:ser>
          <c:idx val="3"/>
          <c:order val="1"/>
          <c:tx>
            <c:strRef>
              <c:f>'БК dZ_dt'!$T$46</c:f>
              <c:strCache>
                <c:ptCount val="1"/>
                <c:pt idx="0">
                  <c:v>Характеристика РС (внеш.)</c:v>
                </c:pt>
              </c:strCache>
            </c:strRef>
          </c:tx>
          <c:marker>
            <c:symbol val="none"/>
          </c:marker>
          <c:xVal>
            <c:numRef>
              <c:f>'БК dZ_dt'!$U$48:$AA$48</c:f>
              <c:numCache>
                <c:formatCode>0.000</c:formatCode>
                <c:ptCount val="7"/>
                <c:pt idx="0">
                  <c:v>5.900744143344939</c:v>
                </c:pt>
                <c:pt idx="1">
                  <c:v>24.099255856655063</c:v>
                </c:pt>
                <c:pt idx="2">
                  <c:v>9.099255856655061</c:v>
                </c:pt>
                <c:pt idx="3">
                  <c:v>-5.900744143344939</c:v>
                </c:pt>
                <c:pt idx="4">
                  <c:v>-24.099255856655063</c:v>
                </c:pt>
                <c:pt idx="5">
                  <c:v>-9.099255856655061</c:v>
                </c:pt>
                <c:pt idx="6">
                  <c:v>5.900744143344939</c:v>
                </c:pt>
              </c:numCache>
            </c:numRef>
          </c:xVal>
          <c:yVal>
            <c:numRef>
              <c:f>'БК dZ_dt'!$U$49:$AA$49</c:f>
              <c:numCache>
                <c:formatCode>0.000</c:formatCode>
                <c:ptCount val="7"/>
                <c:pt idx="0">
                  <c:v>-25</c:v>
                </c:pt>
                <c:pt idx="1">
                  <c:v>25.000000000000004</c:v>
                </c:pt>
                <c:pt idx="2">
                  <c:v>25</c:v>
                </c:pt>
                <c:pt idx="3">
                  <c:v>25</c:v>
                </c:pt>
                <c:pt idx="4">
                  <c:v>-25</c:v>
                </c:pt>
                <c:pt idx="5">
                  <c:v>-25</c:v>
                </c:pt>
                <c:pt idx="6">
                  <c:v>-25</c:v>
                </c:pt>
              </c:numCache>
            </c:numRef>
          </c:yVal>
          <c:smooth val="0"/>
        </c:ser>
        <c:ser>
          <c:idx val="1"/>
          <c:order val="2"/>
          <c:tx>
            <c:strRef>
              <c:f>'БК dZ_dt'!$T$53</c:f>
              <c:strCache>
                <c:ptCount val="1"/>
                <c:pt idx="0">
                  <c:v>Контрольные точки (внутр.)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</c:marker>
          <c:xVal>
            <c:numRef>
              <c:f>'БК dZ_dt'!$U$55:$W$55</c:f>
              <c:numCache>
                <c:formatCode>0.000</c:formatCode>
                <c:ptCount val="3"/>
                <c:pt idx="0">
                  <c:v>10</c:v>
                </c:pt>
                <c:pt idx="1">
                  <c:v>16.271717400911296</c:v>
                </c:pt>
                <c:pt idx="2">
                  <c:v>0</c:v>
                </c:pt>
              </c:numCache>
            </c:numRef>
          </c:xVal>
          <c:yVal>
            <c:numRef>
              <c:f>'БК dZ_dt'!$U$56:$W$56</c:f>
              <c:numCache>
                <c:formatCode>0.000</c:formatCode>
                <c:ptCount val="3"/>
                <c:pt idx="0">
                  <c:v>0</c:v>
                </c:pt>
                <c:pt idx="1">
                  <c:v>17.231401940204414</c:v>
                </c:pt>
                <c:pt idx="2">
                  <c:v>20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'БК dZ_dt'!$Y$53</c:f>
              <c:strCache>
                <c:ptCount val="1"/>
                <c:pt idx="0">
                  <c:v>Контрольные точки (внеш.)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rgbClr val="C00000"/>
              </a:solidFill>
              <a:ln>
                <a:noFill/>
              </a:ln>
            </c:spPr>
          </c:marker>
          <c:xVal>
            <c:numRef>
              <c:f>'БК dZ_dt'!$Z$55:$AB$55</c:f>
              <c:numCache>
                <c:formatCode>0.000</c:formatCode>
                <c:ptCount val="3"/>
                <c:pt idx="0">
                  <c:v>15</c:v>
                </c:pt>
                <c:pt idx="1">
                  <c:v>19.761782001095014</c:v>
                </c:pt>
                <c:pt idx="2">
                  <c:v>0</c:v>
                </c:pt>
              </c:numCache>
            </c:numRef>
          </c:xVal>
          <c:yVal>
            <c:numRef>
              <c:f>'БК dZ_dt'!$Z$56:$AB$56</c:f>
              <c:numCache>
                <c:formatCode>0.00</c:formatCode>
                <c:ptCount val="3"/>
                <c:pt idx="0">
                  <c:v>0</c:v>
                </c:pt>
                <c:pt idx="1">
                  <c:v>13.082888524373994</c:v>
                </c:pt>
                <c:pt idx="2">
                  <c:v>25</c:v>
                </c:pt>
              </c:numCache>
            </c:numRef>
          </c:yVal>
          <c:smooth val="0"/>
        </c:ser>
        <c:ser>
          <c:idx val="2"/>
          <c:order val="4"/>
          <c:tx>
            <c:strRef>
              <c:f>'БК dZ_dt'!$T$16</c:f>
              <c:strCache>
                <c:ptCount val="1"/>
                <c:pt idx="0">
                  <c:v>Проверочная точка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8"/>
            <c:spPr>
              <a:solidFill>
                <a:srgbClr val="FF0000"/>
              </a:solidFill>
              <a:ln w="12700">
                <a:noFill/>
              </a:ln>
            </c:spPr>
          </c:marker>
          <c:xVal>
            <c:numRef>
              <c:f>'БК dZ_dt'!$W$26</c:f>
              <c:numCache>
                <c:formatCode>0.000</c:formatCode>
                <c:ptCount val="1"/>
                <c:pt idx="0">
                  <c:v>7.5000000000000018</c:v>
                </c:pt>
              </c:numCache>
            </c:numRef>
          </c:xVal>
          <c:yVal>
            <c:numRef>
              <c:f>'БК dZ_dt'!$X$26</c:f>
              <c:numCache>
                <c:formatCode>0.000</c:formatCode>
                <c:ptCount val="1"/>
                <c:pt idx="0">
                  <c:v>12.990381056766578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3456640"/>
        <c:axId val="223467008"/>
      </c:scatterChart>
      <c:valAx>
        <c:axId val="223456640"/>
        <c:scaling>
          <c:orientation val="minMax"/>
        </c:scaling>
        <c:delete val="0"/>
        <c:axPos val="b"/>
        <c:majorGridlines/>
        <c:minorGridlines>
          <c:spPr>
            <a:ln w="6350">
              <a:prstDash val="dash"/>
            </a:ln>
          </c:spPr>
        </c:min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3467008"/>
        <c:crosses val="autoZero"/>
        <c:crossBetween val="midCat"/>
      </c:valAx>
      <c:valAx>
        <c:axId val="223467008"/>
        <c:scaling>
          <c:orientation val="minMax"/>
        </c:scaling>
        <c:delete val="0"/>
        <c:axPos val="l"/>
        <c:majorGridlines/>
        <c:minorGridlines>
          <c:spPr>
            <a:ln w="6350">
              <a:prstDash val="dash"/>
            </a:ln>
          </c:spPr>
        </c:minorGridlines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ru-RU"/>
          </a:p>
        </c:txPr>
        <c:crossAx val="223456640"/>
        <c:crosses val="autoZero"/>
        <c:crossBetween val="midCat"/>
      </c:valAx>
      <c:spPr>
        <a:solidFill>
          <a:srgbClr val="FFFFFF"/>
        </a:solidFill>
      </c:spPr>
    </c:plotArea>
    <c:legend>
      <c:legendPos val="r"/>
      <c:legendEntry>
        <c:idx val="0"/>
        <c:txPr>
          <a:bodyPr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</c:legendEntry>
      <c:layout>
        <c:manualLayout>
          <c:xMode val="edge"/>
          <c:yMode val="edge"/>
          <c:x val="0.67343481147425377"/>
          <c:y val="0.70511651335850978"/>
          <c:w val="0.32479808444997005"/>
          <c:h val="0.2834011386684260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'ИПФ, ИПФК'!$AF$81</c:f>
          <c:strCache>
            <c:ptCount val="1"/>
            <c:pt idx="0">
              <c:v>Характеристика ИПФК.
Уставки ИПФК:
   - Rуст ипфк = 2,455 Ом,
   - Xуст ипфк = 1,354 Ом,
   - Xуст ипфк1 = 12,5% (0,169 Ом),
   - kум = 0,5,
   - fi_1 = 72,41°,
   - fi_2 = 115°,
   - fi_3 = -15°,
   - Kr = 0,15,
   - Kx = 0,578.</c:v>
            </c:pt>
          </c:strCache>
        </c:strRef>
      </c:tx>
      <c:layout>
        <c:manualLayout>
          <c:xMode val="edge"/>
          <c:yMode val="edge"/>
          <c:x val="0.79060880722173854"/>
          <c:y val="5.6736342419462502E-2"/>
        </c:manualLayout>
      </c:layout>
      <c:overlay val="0"/>
      <c:spPr>
        <a:noFill/>
      </c:spPr>
      <c:txPr>
        <a:bodyPr/>
        <a:lstStyle/>
        <a:p>
          <a:pPr algn="l"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4.8810948184763711E-2"/>
          <c:y val="5.3016894109087984E-2"/>
          <c:w val="0.56655651196785295"/>
          <c:h val="0.88045785484159234"/>
        </c:manualLayout>
      </c:layout>
      <c:scatterChart>
        <c:scatterStyle val="lineMarker"/>
        <c:varyColors val="0"/>
        <c:ser>
          <c:idx val="7"/>
          <c:order val="0"/>
          <c:tx>
            <c:v>Характеристика ИПФК (Zф)</c:v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'ИПФ, ИПФК'!$AA$66:$AF$66</c:f>
              <c:numCache>
                <c:formatCode>0.000</c:formatCode>
                <c:ptCount val="6"/>
                <c:pt idx="0">
                  <c:v>1.3363686440317166E-17</c:v>
                </c:pt>
                <c:pt idx="1">
                  <c:v>2.3795301694813564</c:v>
                </c:pt>
                <c:pt idx="2">
                  <c:v>3.1006854766096592</c:v>
                </c:pt>
                <c:pt idx="3">
                  <c:v>-0.76362589715385365</c:v>
                </c:pt>
                <c:pt idx="4">
                  <c:v>-0.76362589715385365</c:v>
                </c:pt>
                <c:pt idx="5">
                  <c:v>1.3363686440317166E-17</c:v>
                </c:pt>
              </c:numCache>
            </c:numRef>
          </c:xVal>
          <c:yVal>
            <c:numRef>
              <c:f>'ИПФ, ИПФК'!$AA$67:$AF$67</c:f>
              <c:numCache>
                <c:formatCode>0.000</c:formatCode>
                <c:ptCount val="6"/>
                <c:pt idx="0">
                  <c:v>-0.21815619791666671</c:v>
                </c:pt>
                <c:pt idx="1">
                  <c:v>-0.98260012158125853</c:v>
                </c:pt>
                <c:pt idx="2">
                  <c:v>1.7452495833333339</c:v>
                </c:pt>
                <c:pt idx="3">
                  <c:v>1.7452495833333337</c:v>
                </c:pt>
                <c:pt idx="4">
                  <c:v>1.7452495833333337</c:v>
                </c:pt>
                <c:pt idx="5">
                  <c:v>-0.21815619791666671</c:v>
                </c:pt>
              </c:numCache>
            </c:numRef>
          </c:yVal>
          <c:smooth val="0"/>
        </c:ser>
        <c:ser>
          <c:idx val="1"/>
          <c:order val="1"/>
          <c:tx>
            <c:v>Характеристика ИПФК (Zипфк)</c:v>
          </c:tx>
          <c:spPr>
            <a:ln w="19050">
              <a:solidFill>
                <a:schemeClr val="accent2">
                  <a:lumMod val="75000"/>
                </a:schemeClr>
              </a:solidFill>
              <a:prstDash val="dash"/>
            </a:ln>
          </c:spPr>
          <c:marker>
            <c:symbol val="none"/>
          </c:marker>
          <c:xVal>
            <c:numRef>
              <c:f>'ИПФ, ИПФК'!$AA$64:$AF$64</c:f>
              <c:numCache>
                <c:formatCode>0.000</c:formatCode>
                <c:ptCount val="6"/>
                <c:pt idx="0">
                  <c:v>0</c:v>
                </c:pt>
                <c:pt idx="1">
                  <c:v>2.2133714402355076</c:v>
                </c:pt>
                <c:pt idx="2">
                  <c:v>2.8841696428571435</c:v>
                </c:pt>
                <c:pt idx="3">
                  <c:v>-0.71030314028460129</c:v>
                </c:pt>
                <c:pt idx="4">
                  <c:v>-0.71030314028460129</c:v>
                </c:pt>
                <c:pt idx="5">
                  <c:v>0</c:v>
                </c:pt>
              </c:numCache>
            </c:numRef>
          </c:xVal>
          <c:yVal>
            <c:numRef>
              <c:f>'ИПФ, ИПФК'!$AA$65:$AF$65</c:f>
              <c:numCache>
                <c:formatCode>0.000</c:formatCode>
                <c:ptCount val="6"/>
                <c:pt idx="0">
                  <c:v>-0.16925000000000001</c:v>
                </c:pt>
                <c:pt idx="1">
                  <c:v>-0.7623210899612155</c:v>
                </c:pt>
                <c:pt idx="2">
                  <c:v>1.3540000000000001</c:v>
                </c:pt>
                <c:pt idx="3">
                  <c:v>1.3540000000000001</c:v>
                </c:pt>
                <c:pt idx="4">
                  <c:v>1.3540000000000001</c:v>
                </c:pt>
                <c:pt idx="5">
                  <c:v>-0.16925000000000001</c:v>
                </c:pt>
              </c:numCache>
            </c:numRef>
          </c:yVal>
          <c:smooth val="0"/>
        </c:ser>
        <c:ser>
          <c:idx val="4"/>
          <c:order val="2"/>
          <c:tx>
            <c:v>Контрольные точки ИПФК (Zф)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>
                <a:noFill/>
              </a:ln>
            </c:spPr>
          </c:marker>
          <c:xVal>
            <c:numRef>
              <c:f>'ИПФ, ИПФК'!$AA$70:$AF$70</c:f>
              <c:numCache>
                <c:formatCode>0.000</c:formatCode>
                <c:ptCount val="6"/>
                <c:pt idx="0">
                  <c:v>0</c:v>
                </c:pt>
                <c:pt idx="1">
                  <c:v>2.021683190804926</c:v>
                </c:pt>
                <c:pt idx="2">
                  <c:v>2.6392978873239437</c:v>
                </c:pt>
                <c:pt idx="3">
                  <c:v>3.0017386570527615</c:v>
                </c:pt>
                <c:pt idx="4">
                  <c:v>0</c:v>
                </c:pt>
                <c:pt idx="5">
                  <c:v>-0.6166614546865925</c:v>
                </c:pt>
              </c:numCache>
            </c:numRef>
          </c:xVal>
          <c:yVal>
            <c:numRef>
              <c:f>'ИПФ, ИПФК'!$AA$71:$AF$71</c:f>
              <c:numCache>
                <c:formatCode>0.000</c:formatCode>
                <c:ptCount val="6"/>
                <c:pt idx="0">
                  <c:v>-0.21815619791666671</c:v>
                </c:pt>
                <c:pt idx="1">
                  <c:v>-0.86763879351767959</c:v>
                </c:pt>
                <c:pt idx="2">
                  <c:v>0</c:v>
                </c:pt>
                <c:pt idx="3">
                  <c:v>1.3709722954002665</c:v>
                </c:pt>
                <c:pt idx="4">
                  <c:v>1.7452495833333337</c:v>
                </c:pt>
                <c:pt idx="5">
                  <c:v>1.3673802142432137</c:v>
                </c:pt>
              </c:numCache>
            </c:numRef>
          </c:yVal>
          <c:smooth val="0"/>
        </c:ser>
        <c:ser>
          <c:idx val="5"/>
          <c:order val="3"/>
          <c:tx>
            <c:v>ПТ ИПФК (Zф)</c:v>
          </c:tx>
          <c:spPr>
            <a:ln>
              <a:noFill/>
            </a:ln>
          </c:spPr>
          <c:marker>
            <c:symbol val="diamond"/>
            <c:size val="8"/>
            <c:spPr>
              <a:solidFill>
                <a:srgbClr val="FF0000"/>
              </a:solidFill>
              <a:ln w="12700">
                <a:noFill/>
              </a:ln>
            </c:spPr>
          </c:marker>
          <c:xVal>
            <c:numRef>
              <c:f>'ИПФ, ИПФК'!$AP$28</c:f>
              <c:numCache>
                <c:formatCode>0.000</c:formatCode>
                <c:ptCount val="1"/>
                <c:pt idx="0">
                  <c:v>0.60000000000000009</c:v>
                </c:pt>
              </c:numCache>
            </c:numRef>
          </c:xVal>
          <c:yVal>
            <c:numRef>
              <c:f>'ИПФ, ИПФК'!$AQ$28</c:f>
              <c:numCache>
                <c:formatCode>0.000</c:formatCode>
                <c:ptCount val="1"/>
                <c:pt idx="0">
                  <c:v>1.0392304845413263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4515200"/>
        <c:axId val="224517120"/>
      </c:scatterChart>
      <c:valAx>
        <c:axId val="22451520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minorGridlines>
          <c:spPr>
            <a:ln w="6350">
              <a:prstDash val="dash"/>
            </a:ln>
          </c:spPr>
        </c:min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4517120"/>
        <c:crosses val="autoZero"/>
        <c:crossBetween val="midCat"/>
      </c:valAx>
      <c:valAx>
        <c:axId val="2245171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minorGridlines>
          <c:spPr>
            <a:ln w="6350">
              <a:prstDash val="dash"/>
            </a:ln>
          </c:spPr>
        </c:minorGridlines>
        <c:numFmt formatCode="0.0" sourceLinked="0"/>
        <c:majorTickMark val="out"/>
        <c:minorTickMark val="none"/>
        <c:tickLblPos val="nextTo"/>
        <c:crossAx val="224515200"/>
        <c:crosses val="autoZero"/>
        <c:crossBetween val="midCat"/>
      </c:valAx>
      <c:spPr>
        <a:solidFill>
          <a:srgbClr val="FFFFFF"/>
        </a:solidFill>
      </c:spPr>
    </c:plotArea>
    <c:legend>
      <c:legendPos val="r"/>
      <c:layout>
        <c:manualLayout>
          <c:xMode val="edge"/>
          <c:yMode val="edge"/>
          <c:x val="0.64343368617208141"/>
          <c:y val="0.69613574877266704"/>
          <c:w val="0.34977128106432054"/>
          <c:h val="0.2850133780870396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'ИПФ, ИПФК'!$AF$52</c:f>
          <c:strCache>
            <c:ptCount val="1"/>
            <c:pt idx="0">
              <c:v>Характеристика ИПФ.
Уставки ИПФ:
   - Rуст ипф = 3,545 Ом,
   - Xуст ипф = 3,927 Ом,
   - Xуст ипф1 = 0,393 Ом,
   - fi_1 = 72,41°,
   - fi_2 (ИПФ) = 115°,
   - Kr = 0,15,
   - Kx = 0,578.</c:v>
            </c:pt>
          </c:strCache>
        </c:strRef>
      </c:tx>
      <c:layout>
        <c:manualLayout>
          <c:xMode val="edge"/>
          <c:yMode val="edge"/>
          <c:x val="0.79058274447638477"/>
          <c:y val="2.6139329549585859E-2"/>
        </c:manualLayout>
      </c:layout>
      <c:overlay val="0"/>
      <c:spPr>
        <a:noFill/>
      </c:spPr>
      <c:txPr>
        <a:bodyPr/>
        <a:lstStyle/>
        <a:p>
          <a:pPr algn="l"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4.8810948184763711E-2"/>
          <c:y val="5.3016894109087984E-2"/>
          <c:w val="0.58828089041548637"/>
          <c:h val="0.88045785484159234"/>
        </c:manualLayout>
      </c:layout>
      <c:scatterChart>
        <c:scatterStyle val="lineMarker"/>
        <c:varyColors val="0"/>
        <c:ser>
          <c:idx val="6"/>
          <c:order val="0"/>
          <c:tx>
            <c:v>Характеристика ИПФ (Zф)</c:v>
          </c:tx>
          <c:spPr>
            <a:ln w="28575">
              <a:solidFill>
                <a:schemeClr val="accent1"/>
              </a:solidFill>
              <a:prstDash val="solid"/>
            </a:ln>
          </c:spPr>
          <c:marker>
            <c:symbol val="none"/>
          </c:marker>
          <c:xVal>
            <c:numRef>
              <c:f>'ИПФ, ИПФК'!$AA$37:$AG$37</c:f>
              <c:numCache>
                <c:formatCode>0.000</c:formatCode>
                <c:ptCount val="7"/>
                <c:pt idx="0">
                  <c:v>3.798702956467511E-17</c:v>
                </c:pt>
                <c:pt idx="1">
                  <c:v>4.2205188493460764</c:v>
                </c:pt>
                <c:pt idx="2">
                  <c:v>5.5088511707746477</c:v>
                </c:pt>
                <c:pt idx="3">
                  <c:v>-2.1061266137198351</c:v>
                </c:pt>
                <c:pt idx="4">
                  <c:v>-2.1061266137198351</c:v>
                </c:pt>
                <c:pt idx="5">
                  <c:v>-0.21077355721718743</c:v>
                </c:pt>
                <c:pt idx="6">
                  <c:v>3.798702956467511E-17</c:v>
                </c:pt>
              </c:numCache>
            </c:numRef>
          </c:xVal>
          <c:yVal>
            <c:numRef>
              <c:f>'ИПФ, ИПФК'!$AA$38:$AG$38</c:f>
              <c:numCache>
                <c:formatCode>0.000</c:formatCode>
                <c:ptCount val="7"/>
                <c:pt idx="0">
                  <c:v>0.62012125000000007</c:v>
                </c:pt>
                <c:pt idx="1">
                  <c:v>0.62012125000000007</c:v>
                </c:pt>
                <c:pt idx="2">
                  <c:v>6.1964787499999998</c:v>
                </c:pt>
                <c:pt idx="3">
                  <c:v>6.1964787500000007</c:v>
                </c:pt>
                <c:pt idx="4">
                  <c:v>6.1964787500000007</c:v>
                </c:pt>
                <c:pt idx="5">
                  <c:v>0.62012125000000007</c:v>
                </c:pt>
                <c:pt idx="6">
                  <c:v>0.62012125000000007</c:v>
                </c:pt>
              </c:numCache>
            </c:numRef>
          </c:yVal>
          <c:smooth val="0"/>
        </c:ser>
        <c:ser>
          <c:idx val="0"/>
          <c:order val="1"/>
          <c:tx>
            <c:v>Характеристика ИПФ (Zипф)</c:v>
          </c:tx>
          <c:spPr>
            <a:ln w="19050">
              <a:prstDash val="lgDash"/>
            </a:ln>
          </c:spPr>
          <c:marker>
            <c:symbol val="none"/>
          </c:marker>
          <c:xVal>
            <c:numRef>
              <c:f>'ИПФ, ИПФК'!$AA$35:$AG$35</c:f>
              <c:numCache>
                <c:formatCode>0.000</c:formatCode>
                <c:ptCount val="7"/>
                <c:pt idx="0">
                  <c:v>0</c:v>
                </c:pt>
                <c:pt idx="1">
                  <c:v>3.6695669642857141</c:v>
                </c:pt>
                <c:pt idx="2">
                  <c:v>4.7897187500000005</c:v>
                </c:pt>
                <c:pt idx="3">
                  <c:v>-1.8311901735746787</c:v>
                </c:pt>
                <c:pt idx="4">
                  <c:v>-1.8311901735746787</c:v>
                </c:pt>
                <c:pt idx="5">
                  <c:v>-0.18325890965491437</c:v>
                </c:pt>
                <c:pt idx="6">
                  <c:v>0</c:v>
                </c:pt>
              </c:numCache>
            </c:numRef>
          </c:xVal>
          <c:yVal>
            <c:numRef>
              <c:f>'ИПФ, ИПФК'!$AA$36:$AG$36</c:f>
              <c:numCache>
                <c:formatCode>0.000</c:formatCode>
                <c:ptCount val="7"/>
                <c:pt idx="0">
                  <c:v>0.39300000000000002</c:v>
                </c:pt>
                <c:pt idx="1">
                  <c:v>0.39300000000000002</c:v>
                </c:pt>
                <c:pt idx="2">
                  <c:v>3.927</c:v>
                </c:pt>
                <c:pt idx="3">
                  <c:v>3.927</c:v>
                </c:pt>
                <c:pt idx="4">
                  <c:v>3.927</c:v>
                </c:pt>
                <c:pt idx="5">
                  <c:v>0.39300000000000002</c:v>
                </c:pt>
                <c:pt idx="6">
                  <c:v>0.39300000000000002</c:v>
                </c:pt>
              </c:numCache>
            </c:numRef>
          </c:yVal>
          <c:smooth val="0"/>
        </c:ser>
        <c:ser>
          <c:idx val="3"/>
          <c:order val="2"/>
          <c:tx>
            <c:v>Контрольные точки ИПФ (Zф)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>
                <a:noFill/>
              </a:ln>
            </c:spPr>
          </c:marker>
          <c:xVal>
            <c:numRef>
              <c:f>'ИПФ, ИПФК'!$AA$41:$AE$41</c:f>
              <c:numCache>
                <c:formatCode>0.000</c:formatCode>
                <c:ptCount val="5"/>
                <c:pt idx="0">
                  <c:v>0</c:v>
                </c:pt>
                <c:pt idx="1">
                  <c:v>4.2878151082084166</c:v>
                </c:pt>
                <c:pt idx="2">
                  <c:v>5.3816764234695391</c:v>
                </c:pt>
                <c:pt idx="3">
                  <c:v>0</c:v>
                </c:pt>
                <c:pt idx="4">
                  <c:v>-1.821823655244438</c:v>
                </c:pt>
              </c:numCache>
            </c:numRef>
          </c:xVal>
          <c:yVal>
            <c:numRef>
              <c:f>'ИПФ, ИПФК'!$AA$42:$AE$42</c:f>
              <c:numCache>
                <c:formatCode>0.000</c:formatCode>
                <c:ptCount val="5"/>
                <c:pt idx="0">
                  <c:v>0.62012125000000007</c:v>
                </c:pt>
                <c:pt idx="1">
                  <c:v>0.91140323647755428</c:v>
                </c:pt>
                <c:pt idx="2">
                  <c:v>5.6460215083784577</c:v>
                </c:pt>
                <c:pt idx="3">
                  <c:v>6.1964787499999998</c:v>
                </c:pt>
                <c:pt idx="4">
                  <c:v>5.3600251250000008</c:v>
                </c:pt>
              </c:numCache>
            </c:numRef>
          </c:yVal>
          <c:smooth val="0"/>
        </c:ser>
        <c:ser>
          <c:idx val="2"/>
          <c:order val="3"/>
          <c:tx>
            <c:v>ПТ ИПФ (Zф)</c:v>
          </c:tx>
          <c:spPr>
            <a:ln>
              <a:noFill/>
            </a:ln>
          </c:spPr>
          <c:marker>
            <c:symbol val="diamond"/>
            <c:size val="8"/>
            <c:spPr>
              <a:solidFill>
                <a:srgbClr val="FF0000"/>
              </a:solidFill>
              <a:ln w="12700">
                <a:noFill/>
              </a:ln>
            </c:spPr>
          </c:marker>
          <c:dLbls>
            <c:dLbl>
              <c:idx val="0"/>
              <c:delete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>
                    <a:solidFill>
                      <a:schemeClr val="accent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'ИПФ, ИПФК'!$AB$28</c:f>
              <c:numCache>
                <c:formatCode>0.000</c:formatCode>
                <c:ptCount val="1"/>
                <c:pt idx="0">
                  <c:v>0.60000000000000009</c:v>
                </c:pt>
              </c:numCache>
            </c:numRef>
          </c:xVal>
          <c:yVal>
            <c:numRef>
              <c:f>'ИПФ, ИПФК'!$AC$28</c:f>
              <c:numCache>
                <c:formatCode>0.000</c:formatCode>
                <c:ptCount val="1"/>
                <c:pt idx="0">
                  <c:v>1.0392304845413263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4248576"/>
        <c:axId val="224250112"/>
      </c:scatterChart>
      <c:valAx>
        <c:axId val="224248576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minorGridlines>
          <c:spPr>
            <a:ln w="6350">
              <a:prstDash val="dash"/>
            </a:ln>
          </c:spPr>
        </c:min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4250112"/>
        <c:crosses val="autoZero"/>
        <c:crossBetween val="midCat"/>
      </c:valAx>
      <c:valAx>
        <c:axId val="2242501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minorGridlines>
          <c:spPr>
            <a:ln w="6350">
              <a:prstDash val="dash"/>
            </a:ln>
          </c:spPr>
        </c:minorGridlines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ru-RU"/>
          </a:p>
        </c:txPr>
        <c:crossAx val="224248576"/>
        <c:crosses val="autoZero"/>
        <c:crossBetween val="midCat"/>
      </c:valAx>
      <c:spPr>
        <a:solidFill>
          <a:srgbClr val="FFFFFF"/>
        </a:solidFill>
      </c:spPr>
    </c:plotArea>
    <c:legend>
      <c:legendPos val="r"/>
      <c:layout>
        <c:manualLayout>
          <c:xMode val="edge"/>
          <c:yMode val="edge"/>
          <c:x val="0.64109712196153668"/>
          <c:y val="0.72308252487586622"/>
          <c:w val="0.35769508644476616"/>
          <c:h val="0.2759087627003555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20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7.vml.rels><?xml version="1.0" encoding="UTF-8" standalone="yes"?>
<Relationships xmlns="http://schemas.openxmlformats.org/package/2006/relationships"><Relationship Id="rId8" Type="http://schemas.openxmlformats.org/officeDocument/2006/relationships/image" Target="../media/image16.wmf"/><Relationship Id="rId3" Type="http://schemas.openxmlformats.org/officeDocument/2006/relationships/image" Target="../media/image11.wmf"/><Relationship Id="rId7" Type="http://schemas.openxmlformats.org/officeDocument/2006/relationships/image" Target="../media/image15.wmf"/><Relationship Id="rId2" Type="http://schemas.openxmlformats.org/officeDocument/2006/relationships/image" Target="../media/image10.emf"/><Relationship Id="rId1" Type="http://schemas.openxmlformats.org/officeDocument/2006/relationships/image" Target="../media/image9.wmf"/><Relationship Id="rId6" Type="http://schemas.openxmlformats.org/officeDocument/2006/relationships/image" Target="../media/image14.wmf"/><Relationship Id="rId11" Type="http://schemas.openxmlformats.org/officeDocument/2006/relationships/image" Target="../media/image19.wmf"/><Relationship Id="rId5" Type="http://schemas.openxmlformats.org/officeDocument/2006/relationships/image" Target="../media/image13.wmf"/><Relationship Id="rId10" Type="http://schemas.openxmlformats.org/officeDocument/2006/relationships/image" Target="../media/image18.wmf"/><Relationship Id="rId4" Type="http://schemas.openxmlformats.org/officeDocument/2006/relationships/image" Target="../media/image12.wmf"/><Relationship Id="rId9" Type="http://schemas.openxmlformats.org/officeDocument/2006/relationships/image" Target="../media/image17.wmf"/></Relationships>
</file>

<file path=xl/drawings/_rels/vmlDrawing8.vml.rels><?xml version="1.0" encoding="UTF-8" standalone="yes"?>
<Relationships xmlns="http://schemas.openxmlformats.org/package/2006/relationships"><Relationship Id="rId8" Type="http://schemas.openxmlformats.org/officeDocument/2006/relationships/image" Target="../media/image16.wmf"/><Relationship Id="rId3" Type="http://schemas.openxmlformats.org/officeDocument/2006/relationships/image" Target="../media/image11.wmf"/><Relationship Id="rId7" Type="http://schemas.openxmlformats.org/officeDocument/2006/relationships/image" Target="../media/image15.wmf"/><Relationship Id="rId2" Type="http://schemas.openxmlformats.org/officeDocument/2006/relationships/image" Target="../media/image10.emf"/><Relationship Id="rId1" Type="http://schemas.openxmlformats.org/officeDocument/2006/relationships/image" Target="../media/image9.wmf"/><Relationship Id="rId6" Type="http://schemas.openxmlformats.org/officeDocument/2006/relationships/image" Target="../media/image14.wmf"/><Relationship Id="rId11" Type="http://schemas.openxmlformats.org/officeDocument/2006/relationships/image" Target="../media/image19.wmf"/><Relationship Id="rId5" Type="http://schemas.openxmlformats.org/officeDocument/2006/relationships/image" Target="../media/image13.wmf"/><Relationship Id="rId10" Type="http://schemas.openxmlformats.org/officeDocument/2006/relationships/image" Target="../media/image18.wmf"/><Relationship Id="rId4" Type="http://schemas.openxmlformats.org/officeDocument/2006/relationships/image" Target="../media/image12.wmf"/><Relationship Id="rId9" Type="http://schemas.openxmlformats.org/officeDocument/2006/relationships/image" Target="../media/image17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42862</xdr:colOff>
      <xdr:row>2</xdr:row>
      <xdr:rowOff>76200</xdr:rowOff>
    </xdr:from>
    <xdr:to>
      <xdr:col>10</xdr:col>
      <xdr:colOff>83344</xdr:colOff>
      <xdr:row>6</xdr:row>
      <xdr:rowOff>95250</xdr:rowOff>
    </xdr:to>
    <xdr:pic>
      <xdr:nvPicPr>
        <xdr:cNvPr id="3207079" name="Рисунок 1" descr="logo_ekra_new_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09575"/>
          <a:ext cx="59245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9</xdr:row>
      <xdr:rowOff>0</xdr:rowOff>
    </xdr:from>
    <xdr:to>
      <xdr:col>1</xdr:col>
      <xdr:colOff>2114988</xdr:colOff>
      <xdr:row>22</xdr:row>
      <xdr:rowOff>171069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714500"/>
          <a:ext cx="3134163" cy="2914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101633</xdr:colOff>
      <xdr:row>30</xdr:row>
      <xdr:rowOff>55410</xdr:rowOff>
    </xdr:from>
    <xdr:to>
      <xdr:col>35</xdr:col>
      <xdr:colOff>191180</xdr:colOff>
      <xdr:row>61</xdr:row>
      <xdr:rowOff>141134</xdr:rowOff>
    </xdr:to>
    <xdr:graphicFrame macro="">
      <xdr:nvGraphicFramePr>
        <xdr:cNvPr id="9651339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20</xdr:col>
      <xdr:colOff>123683</xdr:colOff>
      <xdr:row>63</xdr:row>
      <xdr:rowOff>31816</xdr:rowOff>
    </xdr:from>
    <xdr:to>
      <xdr:col>35</xdr:col>
      <xdr:colOff>238125</xdr:colOff>
      <xdr:row>94</xdr:row>
      <xdr:rowOff>186597</xdr:rowOff>
    </xdr:to>
    <xdr:graphicFrame macro="">
      <xdr:nvGraphicFramePr>
        <xdr:cNvPr id="5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56</xdr:row>
          <xdr:rowOff>0</xdr:rowOff>
        </xdr:from>
        <xdr:to>
          <xdr:col>4</xdr:col>
          <xdr:colOff>609600</xdr:colOff>
          <xdr:row>91</xdr:row>
          <xdr:rowOff>142875</xdr:rowOff>
        </xdr:to>
        <xdr:sp macro="" textlink="">
          <xdr:nvSpPr>
            <xdr:cNvPr id="9651351" name="Object 2199" hidden="1">
              <a:extLst>
                <a:ext uri="{63B3BB69-23CF-44E3-9099-C40C66FF867C}">
                  <a14:compatExt spid="_x0000_s9651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113278</xdr:colOff>
      <xdr:row>30</xdr:row>
      <xdr:rowOff>166685</xdr:rowOff>
    </xdr:from>
    <xdr:to>
      <xdr:col>35</xdr:col>
      <xdr:colOff>204570</xdr:colOff>
      <xdr:row>61</xdr:row>
      <xdr:rowOff>142874</xdr:rowOff>
    </xdr:to>
    <xdr:graphicFrame macro="">
      <xdr:nvGraphicFramePr>
        <xdr:cNvPr id="7520897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66</xdr:row>
          <xdr:rowOff>0</xdr:rowOff>
        </xdr:from>
        <xdr:to>
          <xdr:col>4</xdr:col>
          <xdr:colOff>390525</xdr:colOff>
          <xdr:row>90</xdr:row>
          <xdr:rowOff>133350</xdr:rowOff>
        </xdr:to>
        <xdr:sp macro="" textlink="">
          <xdr:nvSpPr>
            <xdr:cNvPr id="7520904" name="Object 1672" hidden="1">
              <a:extLst>
                <a:ext uri="{63B3BB69-23CF-44E3-9099-C40C66FF867C}">
                  <a14:compatExt spid="_x0000_s7520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20</xdr:col>
      <xdr:colOff>113961</xdr:colOff>
      <xdr:row>62</xdr:row>
      <xdr:rowOff>139474</xdr:rowOff>
    </xdr:from>
    <xdr:to>
      <xdr:col>35</xdr:col>
      <xdr:colOff>214455</xdr:colOff>
      <xdr:row>94</xdr:row>
      <xdr:rowOff>127568</xdr:rowOff>
    </xdr:to>
    <xdr:graphicFrame macro="">
      <xdr:nvGraphicFramePr>
        <xdr:cNvPr id="5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202406</xdr:colOff>
      <xdr:row>29</xdr:row>
      <xdr:rowOff>140494</xdr:rowOff>
    </xdr:from>
    <xdr:to>
      <xdr:col>38</xdr:col>
      <xdr:colOff>59531</xdr:colOff>
      <xdr:row>61</xdr:row>
      <xdr:rowOff>83344</xdr:rowOff>
    </xdr:to>
    <xdr:graphicFrame macro="">
      <xdr:nvGraphicFramePr>
        <xdr:cNvPr id="4296629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49</xdr:row>
          <xdr:rowOff>0</xdr:rowOff>
        </xdr:from>
        <xdr:to>
          <xdr:col>4</xdr:col>
          <xdr:colOff>438150</xdr:colOff>
          <xdr:row>72</xdr:row>
          <xdr:rowOff>161925</xdr:rowOff>
        </xdr:to>
        <xdr:sp macro="" textlink="">
          <xdr:nvSpPr>
            <xdr:cNvPr id="4296634" name="Object 954" hidden="1">
              <a:extLst>
                <a:ext uri="{63B3BB69-23CF-44E3-9099-C40C66FF867C}">
                  <a14:compatExt spid="_x0000_s4296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20</xdr:col>
      <xdr:colOff>264319</xdr:colOff>
      <xdr:row>63</xdr:row>
      <xdr:rowOff>38099</xdr:rowOff>
    </xdr:from>
    <xdr:to>
      <xdr:col>38</xdr:col>
      <xdr:colOff>50006</xdr:colOff>
      <xdr:row>94</xdr:row>
      <xdr:rowOff>19730</xdr:rowOff>
    </xdr:to>
    <xdr:graphicFrame macro="">
      <xdr:nvGraphicFramePr>
        <xdr:cNvPr id="5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138112</xdr:colOff>
      <xdr:row>30</xdr:row>
      <xdr:rowOff>97632</xdr:rowOff>
    </xdr:from>
    <xdr:to>
      <xdr:col>30</xdr:col>
      <xdr:colOff>95250</xdr:colOff>
      <xdr:row>59</xdr:row>
      <xdr:rowOff>40482</xdr:rowOff>
    </xdr:to>
    <xdr:graphicFrame macro="">
      <xdr:nvGraphicFramePr>
        <xdr:cNvPr id="5292687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4</xdr:col>
          <xdr:colOff>428625</xdr:colOff>
          <xdr:row>72</xdr:row>
          <xdr:rowOff>219075</xdr:rowOff>
        </xdr:to>
        <xdr:sp macro="" textlink="">
          <xdr:nvSpPr>
            <xdr:cNvPr id="5292693" name="Object 661" hidden="1">
              <a:extLst>
                <a:ext uri="{63B3BB69-23CF-44E3-9099-C40C66FF867C}">
                  <a14:compatExt spid="_x0000_s5292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573882</xdr:colOff>
      <xdr:row>32</xdr:row>
      <xdr:rowOff>185739</xdr:rowOff>
    </xdr:from>
    <xdr:to>
      <xdr:col>46</xdr:col>
      <xdr:colOff>577913</xdr:colOff>
      <xdr:row>59</xdr:row>
      <xdr:rowOff>107275</xdr:rowOff>
    </xdr:to>
    <xdr:graphicFrame macro="">
      <xdr:nvGraphicFramePr>
        <xdr:cNvPr id="7526185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20</xdr:col>
      <xdr:colOff>212721</xdr:colOff>
      <xdr:row>32</xdr:row>
      <xdr:rowOff>165893</xdr:rowOff>
    </xdr:from>
    <xdr:to>
      <xdr:col>33</xdr:col>
      <xdr:colOff>95250</xdr:colOff>
      <xdr:row>59</xdr:row>
      <xdr:rowOff>69173</xdr:rowOff>
    </xdr:to>
    <xdr:graphicFrame macro="">
      <xdr:nvGraphicFramePr>
        <xdr:cNvPr id="7526186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20</xdr:col>
      <xdr:colOff>219076</xdr:colOff>
      <xdr:row>59</xdr:row>
      <xdr:rowOff>152401</xdr:rowOff>
    </xdr:from>
    <xdr:to>
      <xdr:col>33</xdr:col>
      <xdr:colOff>107157</xdr:colOff>
      <xdr:row>85</xdr:row>
      <xdr:rowOff>295276</xdr:rowOff>
    </xdr:to>
    <xdr:graphicFrame macro="">
      <xdr:nvGraphicFramePr>
        <xdr:cNvPr id="6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34</xdr:col>
      <xdr:colOff>559593</xdr:colOff>
      <xdr:row>59</xdr:row>
      <xdr:rowOff>164307</xdr:rowOff>
    </xdr:from>
    <xdr:to>
      <xdr:col>46</xdr:col>
      <xdr:colOff>602455</xdr:colOff>
      <xdr:row>85</xdr:row>
      <xdr:rowOff>285751</xdr:rowOff>
    </xdr:to>
    <xdr:graphicFrame macro="">
      <xdr:nvGraphicFramePr>
        <xdr:cNvPr id="7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59</xdr:row>
          <xdr:rowOff>0</xdr:rowOff>
        </xdr:from>
        <xdr:to>
          <xdr:col>4</xdr:col>
          <xdr:colOff>647700</xdr:colOff>
          <xdr:row>81</xdr:row>
          <xdr:rowOff>104775</xdr:rowOff>
        </xdr:to>
        <xdr:sp macro="" textlink="">
          <xdr:nvSpPr>
            <xdr:cNvPr id="7526191" name="Object 2863" hidden="1">
              <a:extLst>
                <a:ext uri="{63B3BB69-23CF-44E3-9099-C40C66FF867C}">
                  <a14:compatExt spid="_x0000_s7526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0</xdr:rowOff>
        </xdr:from>
        <xdr:to>
          <xdr:col>4</xdr:col>
          <xdr:colOff>647700</xdr:colOff>
          <xdr:row>103</xdr:row>
          <xdr:rowOff>161925</xdr:rowOff>
        </xdr:to>
        <xdr:sp macro="" textlink="">
          <xdr:nvSpPr>
            <xdr:cNvPr id="7526193" name="Object 2865" hidden="1">
              <a:extLst>
                <a:ext uri="{63B3BB69-23CF-44E3-9099-C40C66FF867C}">
                  <a14:compatExt spid="_x0000_s7526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230977</xdr:colOff>
      <xdr:row>26</xdr:row>
      <xdr:rowOff>166688</xdr:rowOff>
    </xdr:from>
    <xdr:to>
      <xdr:col>30</xdr:col>
      <xdr:colOff>0</xdr:colOff>
      <xdr:row>44</xdr:row>
      <xdr:rowOff>166688</xdr:rowOff>
    </xdr:to>
    <xdr:graphicFrame macro="">
      <xdr:nvGraphicFramePr>
        <xdr:cNvPr id="683006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40</xdr:col>
      <xdr:colOff>154781</xdr:colOff>
      <xdr:row>37</xdr:row>
      <xdr:rowOff>180974</xdr:rowOff>
    </xdr:from>
    <xdr:to>
      <xdr:col>47</xdr:col>
      <xdr:colOff>230981</xdr:colOff>
      <xdr:row>61</xdr:row>
      <xdr:rowOff>30955</xdr:rowOff>
    </xdr:to>
    <xdr:graphicFrame macro="">
      <xdr:nvGraphicFramePr>
        <xdr:cNvPr id="683006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47</xdr:col>
      <xdr:colOff>457200</xdr:colOff>
      <xdr:row>37</xdr:row>
      <xdr:rowOff>180975</xdr:rowOff>
    </xdr:from>
    <xdr:to>
      <xdr:col>54</xdr:col>
      <xdr:colOff>514350</xdr:colOff>
      <xdr:row>61</xdr:row>
      <xdr:rowOff>35719</xdr:rowOff>
    </xdr:to>
    <xdr:graphicFrame macro="">
      <xdr:nvGraphicFramePr>
        <xdr:cNvPr id="683006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47</xdr:row>
          <xdr:rowOff>0</xdr:rowOff>
        </xdr:from>
        <xdr:to>
          <xdr:col>4</xdr:col>
          <xdr:colOff>400050</xdr:colOff>
          <xdr:row>67</xdr:row>
          <xdr:rowOff>133350</xdr:rowOff>
        </xdr:to>
        <xdr:sp macro="" textlink="">
          <xdr:nvSpPr>
            <xdr:cNvPr id="6830068" name="Object 1012" hidden="1">
              <a:extLst>
                <a:ext uri="{63B3BB69-23CF-44E3-9099-C40C66FF867C}">
                  <a14:compatExt spid="_x0000_s6830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12321" name="Object 1" hidden="1">
              <a:extLst>
                <a:ext uri="{63B3BB69-23CF-44E3-9099-C40C66FF867C}">
                  <a14:compatExt spid="_x0000_s6712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12322" name="Object 2" hidden="1">
              <a:extLst>
                <a:ext uri="{63B3BB69-23CF-44E3-9099-C40C66FF867C}">
                  <a14:compatExt spid="_x0000_s6712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12323" name="Object 3" hidden="1">
              <a:extLst>
                <a:ext uri="{63B3BB69-23CF-44E3-9099-C40C66FF867C}">
                  <a14:compatExt spid="_x0000_s6712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12324" name="Object 4" hidden="1">
              <a:extLst>
                <a:ext uri="{63B3BB69-23CF-44E3-9099-C40C66FF867C}">
                  <a14:compatExt spid="_x0000_s6712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12325" name="Object 5" hidden="1">
              <a:extLst>
                <a:ext uri="{63B3BB69-23CF-44E3-9099-C40C66FF867C}">
                  <a14:compatExt spid="_x0000_s6712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12326" name="Object 6" hidden="1">
              <a:extLst>
                <a:ext uri="{63B3BB69-23CF-44E3-9099-C40C66FF867C}">
                  <a14:compatExt spid="_x0000_s6712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12327" name="Object 7" hidden="1">
              <a:extLst>
                <a:ext uri="{63B3BB69-23CF-44E3-9099-C40C66FF867C}">
                  <a14:compatExt spid="_x0000_s6712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12328" name="Object 8" hidden="1">
              <a:extLst>
                <a:ext uri="{63B3BB69-23CF-44E3-9099-C40C66FF867C}">
                  <a14:compatExt spid="_x0000_s6712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12329" name="Object 9" hidden="1">
              <a:extLst>
                <a:ext uri="{63B3BB69-23CF-44E3-9099-C40C66FF867C}">
                  <a14:compatExt spid="_x0000_s6712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12330" name="Object 10" hidden="1">
              <a:extLst>
                <a:ext uri="{63B3BB69-23CF-44E3-9099-C40C66FF867C}">
                  <a14:compatExt spid="_x0000_s6712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12331" name="Object 11" hidden="1">
              <a:extLst>
                <a:ext uri="{63B3BB69-23CF-44E3-9099-C40C66FF867C}">
                  <a14:compatExt spid="_x0000_s6712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304800</xdr:colOff>
      <xdr:row>3</xdr:row>
      <xdr:rowOff>0</xdr:rowOff>
    </xdr:from>
    <xdr:to>
      <xdr:col>12</xdr:col>
      <xdr:colOff>0</xdr:colOff>
      <xdr:row>59</xdr:row>
      <xdr:rowOff>133350</xdr:rowOff>
    </xdr:to>
    <xdr:pic>
      <xdr:nvPicPr>
        <xdr:cNvPr id="6713028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85775"/>
          <a:ext cx="6105525" cy="920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114300</xdr:colOff>
      <xdr:row>3</xdr:row>
      <xdr:rowOff>47625</xdr:rowOff>
    </xdr:from>
    <xdr:to>
      <xdr:col>23</xdr:col>
      <xdr:colOff>581025</xdr:colOff>
      <xdr:row>42</xdr:row>
      <xdr:rowOff>152400</xdr:rowOff>
    </xdr:to>
    <xdr:pic>
      <xdr:nvPicPr>
        <xdr:cNvPr id="6713029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533400"/>
          <a:ext cx="6562725" cy="6419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20513" name="Object 1" hidden="1">
              <a:extLst>
                <a:ext uri="{63B3BB69-23CF-44E3-9099-C40C66FF867C}">
                  <a14:compatExt spid="_x0000_s6720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20514" name="Object 2" hidden="1">
              <a:extLst>
                <a:ext uri="{63B3BB69-23CF-44E3-9099-C40C66FF867C}">
                  <a14:compatExt spid="_x0000_s6720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20515" name="Object 3" hidden="1">
              <a:extLst>
                <a:ext uri="{63B3BB69-23CF-44E3-9099-C40C66FF867C}">
                  <a14:compatExt spid="_x0000_s6720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20516" name="Object 4" hidden="1">
              <a:extLst>
                <a:ext uri="{63B3BB69-23CF-44E3-9099-C40C66FF867C}">
                  <a14:compatExt spid="_x0000_s6720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20517" name="Object 5" hidden="1">
              <a:extLst>
                <a:ext uri="{63B3BB69-23CF-44E3-9099-C40C66FF867C}">
                  <a14:compatExt spid="_x0000_s6720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20518" name="Object 6" hidden="1">
              <a:extLst>
                <a:ext uri="{63B3BB69-23CF-44E3-9099-C40C66FF867C}">
                  <a14:compatExt spid="_x0000_s6720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20519" name="Object 7" hidden="1">
              <a:extLst>
                <a:ext uri="{63B3BB69-23CF-44E3-9099-C40C66FF867C}">
                  <a14:compatExt spid="_x0000_s6720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20520" name="Object 8" hidden="1">
              <a:extLst>
                <a:ext uri="{63B3BB69-23CF-44E3-9099-C40C66FF867C}">
                  <a14:compatExt spid="_x0000_s6720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20521" name="Object 9" hidden="1">
              <a:extLst>
                <a:ext uri="{63B3BB69-23CF-44E3-9099-C40C66FF867C}">
                  <a14:compatExt spid="_x0000_s6720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20522" name="Object 10" hidden="1">
              <a:extLst>
                <a:ext uri="{63B3BB69-23CF-44E3-9099-C40C66FF867C}">
                  <a14:compatExt spid="_x0000_s6720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20523" name="Object 11" hidden="1">
              <a:extLst>
                <a:ext uri="{63B3BB69-23CF-44E3-9099-C40C66FF867C}">
                  <a14:compatExt spid="_x0000_s6720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0</xdr:colOff>
      <xdr:row>3</xdr:row>
      <xdr:rowOff>0</xdr:rowOff>
    </xdr:from>
    <xdr:to>
      <xdr:col>11</xdr:col>
      <xdr:colOff>113600</xdr:colOff>
      <xdr:row>52</xdr:row>
      <xdr:rowOff>46627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485775"/>
          <a:ext cx="5600000" cy="7980952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</xdr:row>
      <xdr:rowOff>0</xdr:rowOff>
    </xdr:from>
    <xdr:to>
      <xdr:col>22</xdr:col>
      <xdr:colOff>85029</xdr:colOff>
      <xdr:row>48</xdr:row>
      <xdr:rowOff>56232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72300" y="485775"/>
          <a:ext cx="5571429" cy="73428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image" Target="../media/image2.emf"/><Relationship Id="rId4" Type="http://schemas.openxmlformats.org/officeDocument/2006/relationships/package" Target="../embeddings/_________Microsoft_Visio111.vsdx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2.xml"/><Relationship Id="rId5" Type="http://schemas.openxmlformats.org/officeDocument/2006/relationships/image" Target="../media/image3.emf"/><Relationship Id="rId4" Type="http://schemas.openxmlformats.org/officeDocument/2006/relationships/package" Target="../embeddings/_________Microsoft_Visio222.vsdx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omments" Target="../comments3.xml"/><Relationship Id="rId5" Type="http://schemas.openxmlformats.org/officeDocument/2006/relationships/image" Target="../media/image4.emf"/><Relationship Id="rId4" Type="http://schemas.openxmlformats.org/officeDocument/2006/relationships/package" Target="../embeddings/_________Microsoft_Visio333.vsdx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mments" Target="../comments4.xml"/><Relationship Id="rId5" Type="http://schemas.openxmlformats.org/officeDocument/2006/relationships/image" Target="../media/image5.emf"/><Relationship Id="rId4" Type="http://schemas.openxmlformats.org/officeDocument/2006/relationships/package" Target="../embeddings/_________Microsoft_Visio444.vsdx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omments" Target="../comments5.xml"/><Relationship Id="rId3" Type="http://schemas.openxmlformats.org/officeDocument/2006/relationships/vmlDrawing" Target="../drawings/vmlDrawing5.vml"/><Relationship Id="rId7" Type="http://schemas.openxmlformats.org/officeDocument/2006/relationships/image" Target="../media/image7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package" Target="../embeddings/_________Microsoft_Visio666.vsdx"/><Relationship Id="rId5" Type="http://schemas.openxmlformats.org/officeDocument/2006/relationships/image" Target="../media/image6.emf"/><Relationship Id="rId4" Type="http://schemas.openxmlformats.org/officeDocument/2006/relationships/package" Target="../embeddings/_________Microsoft_Visio555.vsdx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comments" Target="../comments6.xml"/><Relationship Id="rId5" Type="http://schemas.openxmlformats.org/officeDocument/2006/relationships/image" Target="../media/image8.emf"/><Relationship Id="rId4" Type="http://schemas.openxmlformats.org/officeDocument/2006/relationships/package" Target="../embeddings/_________Microsoft_Visio777.vsdx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13.wmf"/><Relationship Id="rId18" Type="http://schemas.openxmlformats.org/officeDocument/2006/relationships/oleObject" Target="../embeddings/oleObject8.bin"/><Relationship Id="rId26" Type="http://schemas.openxmlformats.org/officeDocument/2006/relationships/comments" Target="../comments7.xml"/><Relationship Id="rId3" Type="http://schemas.openxmlformats.org/officeDocument/2006/relationships/vmlDrawing" Target="../drawings/vmlDrawing7.vml"/><Relationship Id="rId21" Type="http://schemas.openxmlformats.org/officeDocument/2006/relationships/image" Target="../media/image17.wmf"/><Relationship Id="rId7" Type="http://schemas.openxmlformats.org/officeDocument/2006/relationships/image" Target="../media/image10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15.wmf"/><Relationship Id="rId25" Type="http://schemas.openxmlformats.org/officeDocument/2006/relationships/image" Target="../media/image19.wmf"/><Relationship Id="rId2" Type="http://schemas.openxmlformats.org/officeDocument/2006/relationships/drawing" Target="../drawings/drawing8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12.wmf"/><Relationship Id="rId24" Type="http://schemas.openxmlformats.org/officeDocument/2006/relationships/oleObject" Target="../embeddings/oleObject11.bin"/><Relationship Id="rId5" Type="http://schemas.openxmlformats.org/officeDocument/2006/relationships/image" Target="../media/image9.wmf"/><Relationship Id="rId15" Type="http://schemas.openxmlformats.org/officeDocument/2006/relationships/image" Target="../media/image14.wmf"/><Relationship Id="rId23" Type="http://schemas.openxmlformats.org/officeDocument/2006/relationships/image" Target="../media/image18.w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16.w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11.w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4.bin"/><Relationship Id="rId13" Type="http://schemas.openxmlformats.org/officeDocument/2006/relationships/image" Target="../media/image13.wmf"/><Relationship Id="rId18" Type="http://schemas.openxmlformats.org/officeDocument/2006/relationships/oleObject" Target="../embeddings/oleObject19.bin"/><Relationship Id="rId26" Type="http://schemas.openxmlformats.org/officeDocument/2006/relationships/comments" Target="../comments8.xml"/><Relationship Id="rId3" Type="http://schemas.openxmlformats.org/officeDocument/2006/relationships/vmlDrawing" Target="../drawings/vmlDrawing8.vml"/><Relationship Id="rId21" Type="http://schemas.openxmlformats.org/officeDocument/2006/relationships/image" Target="../media/image17.wmf"/><Relationship Id="rId7" Type="http://schemas.openxmlformats.org/officeDocument/2006/relationships/image" Target="../media/image10.emf"/><Relationship Id="rId12" Type="http://schemas.openxmlformats.org/officeDocument/2006/relationships/oleObject" Target="../embeddings/oleObject16.bin"/><Relationship Id="rId17" Type="http://schemas.openxmlformats.org/officeDocument/2006/relationships/image" Target="../media/image15.wmf"/><Relationship Id="rId25" Type="http://schemas.openxmlformats.org/officeDocument/2006/relationships/image" Target="../media/image19.wmf"/><Relationship Id="rId2" Type="http://schemas.openxmlformats.org/officeDocument/2006/relationships/drawing" Target="../drawings/drawing9.xml"/><Relationship Id="rId16" Type="http://schemas.openxmlformats.org/officeDocument/2006/relationships/oleObject" Target="../embeddings/oleObject18.bin"/><Relationship Id="rId20" Type="http://schemas.openxmlformats.org/officeDocument/2006/relationships/oleObject" Target="../embeddings/oleObject20.bin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13.bin"/><Relationship Id="rId11" Type="http://schemas.openxmlformats.org/officeDocument/2006/relationships/image" Target="../media/image12.wmf"/><Relationship Id="rId24" Type="http://schemas.openxmlformats.org/officeDocument/2006/relationships/oleObject" Target="../embeddings/oleObject22.bin"/><Relationship Id="rId5" Type="http://schemas.openxmlformats.org/officeDocument/2006/relationships/image" Target="../media/image9.wmf"/><Relationship Id="rId15" Type="http://schemas.openxmlformats.org/officeDocument/2006/relationships/image" Target="../media/image14.wmf"/><Relationship Id="rId23" Type="http://schemas.openxmlformats.org/officeDocument/2006/relationships/image" Target="../media/image18.wmf"/><Relationship Id="rId10" Type="http://schemas.openxmlformats.org/officeDocument/2006/relationships/oleObject" Target="../embeddings/oleObject15.bin"/><Relationship Id="rId19" Type="http://schemas.openxmlformats.org/officeDocument/2006/relationships/image" Target="../media/image16.wmf"/><Relationship Id="rId4" Type="http://schemas.openxmlformats.org/officeDocument/2006/relationships/oleObject" Target="../embeddings/oleObject12.bin"/><Relationship Id="rId9" Type="http://schemas.openxmlformats.org/officeDocument/2006/relationships/image" Target="../media/image11.wmf"/><Relationship Id="rId14" Type="http://schemas.openxmlformats.org/officeDocument/2006/relationships/oleObject" Target="../embeddings/oleObject17.bin"/><Relationship Id="rId22" Type="http://schemas.openxmlformats.org/officeDocument/2006/relationships/oleObject" Target="../embeddings/oleObject2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AE112"/>
  <sheetViews>
    <sheetView tabSelected="1" zoomScale="90" zoomScaleNormal="90" workbookViewId="0">
      <pane ySplit="40" topLeftCell="A41" activePane="bottomLeft" state="frozen"/>
      <selection pane="bottomLeft" activeCell="D32" sqref="D32"/>
    </sheetView>
  </sheetViews>
  <sheetFormatPr defaultColWidth="9.140625" defaultRowHeight="12.75" x14ac:dyDescent="0.2"/>
  <cols>
    <col min="1" max="2" width="9.140625" style="21"/>
    <col min="3" max="3" width="10.85546875" style="21" bestFit="1" customWidth="1"/>
    <col min="4" max="4" width="7.140625" style="21" customWidth="1"/>
    <col min="5" max="5" width="29.5703125" style="21" customWidth="1"/>
    <col min="6" max="13" width="10.28515625" style="21" customWidth="1"/>
    <col min="14" max="16384" width="9.140625" style="21"/>
  </cols>
  <sheetData>
    <row r="1" spans="1:31" x14ac:dyDescent="0.2">
      <c r="A1" s="19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19"/>
      <c r="Q1" s="19"/>
      <c r="R1" s="19"/>
      <c r="S1" s="19"/>
      <c r="T1" s="19"/>
      <c r="U1" s="19"/>
      <c r="V1" s="19"/>
      <c r="W1" s="19"/>
      <c r="X1" s="19"/>
      <c r="Y1" s="19"/>
      <c r="Z1" s="257"/>
      <c r="AA1" s="257"/>
      <c r="AB1" s="257"/>
      <c r="AC1" s="257"/>
      <c r="AD1" s="257"/>
      <c r="AE1" s="257"/>
    </row>
    <row r="2" spans="1:31" ht="13.5" thickBot="1" x14ac:dyDescent="0.25">
      <c r="A2" s="19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19"/>
      <c r="Q2" s="19"/>
      <c r="R2" s="19"/>
      <c r="S2" s="19"/>
      <c r="T2" s="19"/>
      <c r="U2" s="19"/>
      <c r="V2" s="19"/>
      <c r="W2" s="19"/>
      <c r="X2" s="19"/>
      <c r="Y2" s="19"/>
      <c r="Z2" s="257"/>
      <c r="AA2" s="257"/>
      <c r="AB2" s="257"/>
      <c r="AC2" s="257"/>
      <c r="AD2" s="257"/>
      <c r="AE2" s="257"/>
    </row>
    <row r="3" spans="1:31" x14ac:dyDescent="0.2">
      <c r="A3" s="19"/>
      <c r="B3" s="20"/>
      <c r="C3" s="22"/>
      <c r="D3" s="23"/>
      <c r="E3" s="23"/>
      <c r="F3" s="23"/>
      <c r="G3" s="23"/>
      <c r="H3" s="23"/>
      <c r="I3" s="23"/>
      <c r="J3" s="23"/>
      <c r="K3" s="23"/>
      <c r="L3" s="23"/>
      <c r="M3" s="23"/>
      <c r="N3" s="24"/>
      <c r="O3" s="20"/>
      <c r="P3" s="19"/>
      <c r="Q3" s="19"/>
      <c r="R3" s="19"/>
      <c r="S3" s="19"/>
      <c r="T3" s="19"/>
      <c r="U3" s="19"/>
      <c r="V3" s="19"/>
      <c r="W3" s="19"/>
      <c r="X3" s="19"/>
      <c r="Y3" s="19"/>
      <c r="Z3" s="257"/>
      <c r="AA3" s="257"/>
      <c r="AB3" s="257"/>
      <c r="AC3" s="257"/>
      <c r="AD3" s="257"/>
      <c r="AE3" s="257"/>
    </row>
    <row r="4" spans="1:31" x14ac:dyDescent="0.2">
      <c r="A4" s="19"/>
      <c r="B4" s="20"/>
      <c r="C4" s="25"/>
      <c r="D4" s="26"/>
      <c r="E4" s="26"/>
      <c r="F4" s="26"/>
      <c r="G4" s="26"/>
      <c r="H4" s="26"/>
      <c r="I4" s="26"/>
      <c r="J4" s="26"/>
      <c r="K4" s="26"/>
      <c r="L4" s="26"/>
      <c r="M4" s="26"/>
      <c r="N4" s="27"/>
      <c r="O4" s="20"/>
      <c r="P4" s="19"/>
      <c r="Q4" s="19"/>
      <c r="R4" s="19"/>
      <c r="S4" s="19"/>
      <c r="T4" s="19"/>
      <c r="U4" s="19"/>
      <c r="V4" s="19"/>
      <c r="W4" s="19"/>
      <c r="X4" s="19"/>
      <c r="Y4" s="19"/>
      <c r="Z4" s="257"/>
      <c r="AA4" s="257"/>
      <c r="AB4" s="257"/>
      <c r="AC4" s="257"/>
      <c r="AD4" s="257"/>
      <c r="AE4" s="257"/>
    </row>
    <row r="5" spans="1:31" ht="12.75" customHeight="1" x14ac:dyDescent="0.2">
      <c r="A5" s="19"/>
      <c r="B5" s="20"/>
      <c r="C5" s="25"/>
      <c r="D5" s="26"/>
      <c r="E5" s="26"/>
      <c r="F5" s="26"/>
      <c r="G5" s="26"/>
      <c r="H5" s="26"/>
      <c r="I5" s="26"/>
      <c r="J5" s="26"/>
      <c r="K5" s="26"/>
      <c r="L5" s="26"/>
      <c r="M5" s="26"/>
      <c r="N5" s="27"/>
      <c r="O5" s="20"/>
      <c r="P5" s="19"/>
      <c r="Q5" s="19"/>
      <c r="R5" s="19"/>
      <c r="S5" s="19"/>
      <c r="T5" s="19"/>
      <c r="U5" s="19"/>
      <c r="V5" s="19"/>
      <c r="W5" s="19"/>
      <c r="X5" s="19"/>
      <c r="Y5" s="19"/>
      <c r="Z5" s="257"/>
      <c r="AA5" s="257"/>
      <c r="AB5" s="257"/>
      <c r="AC5" s="257"/>
      <c r="AD5" s="257"/>
      <c r="AE5" s="257"/>
    </row>
    <row r="6" spans="1:31" x14ac:dyDescent="0.2">
      <c r="A6" s="19"/>
      <c r="B6" s="20"/>
      <c r="C6" s="25"/>
      <c r="D6" s="26"/>
      <c r="E6" s="26"/>
      <c r="F6" s="26"/>
      <c r="G6" s="26"/>
      <c r="H6" s="26"/>
      <c r="I6" s="26"/>
      <c r="J6" s="26"/>
      <c r="K6" s="26"/>
      <c r="L6" s="26"/>
      <c r="M6" s="26"/>
      <c r="N6" s="27"/>
      <c r="O6" s="20"/>
      <c r="P6" s="19"/>
      <c r="Q6" s="19"/>
      <c r="R6" s="19"/>
      <c r="S6" s="19"/>
      <c r="T6" s="19"/>
      <c r="U6" s="19"/>
      <c r="V6" s="19"/>
      <c r="W6" s="19"/>
      <c r="X6" s="19"/>
      <c r="Y6" s="19"/>
      <c r="Z6" s="257"/>
      <c r="AA6" s="257"/>
      <c r="AB6" s="257"/>
      <c r="AC6" s="257"/>
      <c r="AD6" s="257"/>
      <c r="AE6" s="257"/>
    </row>
    <row r="7" spans="1:31" ht="12.75" customHeight="1" x14ac:dyDescent="0.2">
      <c r="A7" s="19"/>
      <c r="B7" s="20"/>
      <c r="C7" s="25"/>
      <c r="D7" s="26"/>
      <c r="E7" s="26"/>
      <c r="F7" s="26"/>
      <c r="G7" s="26"/>
      <c r="H7" s="26"/>
      <c r="I7" s="26"/>
      <c r="J7" s="26"/>
      <c r="K7" s="26"/>
      <c r="L7" s="26"/>
      <c r="M7" s="26"/>
      <c r="N7" s="27"/>
      <c r="O7" s="20"/>
      <c r="P7" s="19"/>
      <c r="Q7" s="19"/>
      <c r="R7" s="19"/>
      <c r="S7" s="19"/>
      <c r="T7" s="19"/>
      <c r="U7" s="19"/>
      <c r="V7" s="19"/>
      <c r="W7" s="19"/>
      <c r="X7" s="19"/>
      <c r="Y7" s="19"/>
      <c r="Z7" s="257"/>
      <c r="AA7" s="257"/>
      <c r="AB7" s="257"/>
      <c r="AC7" s="257"/>
      <c r="AD7" s="257"/>
      <c r="AE7" s="257"/>
    </row>
    <row r="8" spans="1:31" ht="12.75" customHeight="1" x14ac:dyDescent="0.2">
      <c r="A8" s="19"/>
      <c r="B8" s="20"/>
      <c r="C8" s="25"/>
      <c r="D8" s="26"/>
      <c r="E8" s="26"/>
      <c r="F8" s="26"/>
      <c r="G8" s="26"/>
      <c r="H8" s="26"/>
      <c r="I8" s="26"/>
      <c r="J8" s="257"/>
      <c r="K8" s="480" t="s">
        <v>433</v>
      </c>
      <c r="L8" s="481"/>
      <c r="M8" s="257"/>
      <c r="N8" s="27"/>
      <c r="O8" s="20"/>
      <c r="P8" s="19"/>
      <c r="Q8" s="19"/>
      <c r="R8" s="19"/>
      <c r="S8" s="19"/>
      <c r="T8" s="19"/>
      <c r="U8" s="19"/>
      <c r="V8" s="19"/>
      <c r="W8" s="19"/>
      <c r="X8" s="19"/>
      <c r="Y8" s="19"/>
      <c r="Z8" s="257"/>
      <c r="AA8" s="257"/>
      <c r="AB8" s="257"/>
      <c r="AC8" s="257"/>
      <c r="AD8" s="257"/>
      <c r="AE8" s="257"/>
    </row>
    <row r="9" spans="1:31" x14ac:dyDescent="0.2">
      <c r="A9" s="19"/>
      <c r="B9" s="20"/>
      <c r="C9" s="25"/>
      <c r="D9" s="26"/>
      <c r="E9" s="26"/>
      <c r="F9" s="26"/>
      <c r="G9" s="26"/>
      <c r="H9" s="26"/>
      <c r="I9" s="26"/>
      <c r="J9" s="257"/>
      <c r="K9" s="482" t="s">
        <v>434</v>
      </c>
      <c r="L9" s="481"/>
      <c r="M9" s="257"/>
      <c r="N9" s="27"/>
      <c r="O9" s="20"/>
      <c r="P9" s="19"/>
      <c r="Q9" s="19"/>
      <c r="R9" s="19"/>
      <c r="S9" s="19"/>
      <c r="T9" s="19"/>
      <c r="U9" s="19"/>
      <c r="V9" s="19"/>
      <c r="W9" s="19"/>
      <c r="X9" s="19"/>
      <c r="Y9" s="19"/>
      <c r="Z9" s="257"/>
      <c r="AA9" s="257"/>
      <c r="AB9" s="257"/>
      <c r="AC9" s="257"/>
      <c r="AD9" s="257"/>
      <c r="AE9" s="257"/>
    </row>
    <row r="10" spans="1:31" ht="12.75" customHeight="1" x14ac:dyDescent="0.2">
      <c r="A10" s="19"/>
      <c r="B10" s="20"/>
      <c r="C10" s="25"/>
      <c r="D10" s="26"/>
      <c r="E10" s="26"/>
      <c r="F10" s="26"/>
      <c r="G10" s="26"/>
      <c r="H10" s="26"/>
      <c r="I10" s="26"/>
      <c r="J10" s="257"/>
      <c r="K10" s="482" t="s">
        <v>435</v>
      </c>
      <c r="L10" s="482" t="s">
        <v>436</v>
      </c>
      <c r="M10" s="257"/>
      <c r="N10" s="27"/>
      <c r="O10" s="20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257"/>
      <c r="AA10" s="257"/>
      <c r="AB10" s="257"/>
      <c r="AC10" s="257"/>
      <c r="AD10" s="257"/>
      <c r="AE10" s="257"/>
    </row>
    <row r="11" spans="1:31" x14ac:dyDescent="0.2">
      <c r="A11" s="19"/>
      <c r="B11" s="20"/>
      <c r="C11" s="25"/>
      <c r="D11" s="26"/>
      <c r="E11" s="26"/>
      <c r="F11" s="26"/>
      <c r="G11" s="26"/>
      <c r="H11" s="26"/>
      <c r="I11" s="26"/>
      <c r="J11" s="257"/>
      <c r="K11" s="482" t="s">
        <v>437</v>
      </c>
      <c r="L11" s="482" t="s">
        <v>438</v>
      </c>
      <c r="M11" s="257"/>
      <c r="N11" s="27"/>
      <c r="O11" s="20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257"/>
      <c r="AA11" s="257"/>
      <c r="AB11" s="257"/>
      <c r="AC11" s="257"/>
      <c r="AD11" s="257"/>
      <c r="AE11" s="257"/>
    </row>
    <row r="12" spans="1:31" ht="23.25" x14ac:dyDescent="0.2">
      <c r="A12" s="19"/>
      <c r="B12" s="20"/>
      <c r="C12" s="25"/>
      <c r="D12" s="28" t="s">
        <v>151</v>
      </c>
      <c r="E12" s="26"/>
      <c r="F12" s="26"/>
      <c r="G12" s="26"/>
      <c r="H12" s="26"/>
      <c r="I12" s="26"/>
      <c r="J12" s="26"/>
      <c r="K12" s="26"/>
      <c r="L12" s="26"/>
      <c r="M12" s="26"/>
      <c r="N12" s="27"/>
      <c r="O12" s="20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257"/>
      <c r="AA12" s="257"/>
      <c r="AB12" s="257"/>
      <c r="AC12" s="257"/>
      <c r="AD12" s="257"/>
      <c r="AE12" s="257"/>
    </row>
    <row r="13" spans="1:31" x14ac:dyDescent="0.2">
      <c r="A13" s="19"/>
      <c r="B13" s="20"/>
      <c r="C13" s="25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7"/>
      <c r="O13" s="20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257"/>
      <c r="AA13" s="257"/>
      <c r="AB13" s="257"/>
      <c r="AC13" s="257"/>
      <c r="AD13" s="257"/>
      <c r="AE13" s="257"/>
    </row>
    <row r="14" spans="1:31" x14ac:dyDescent="0.2">
      <c r="A14" s="19"/>
      <c r="B14" s="20"/>
      <c r="C14" s="25"/>
      <c r="D14" s="26" t="s">
        <v>448</v>
      </c>
      <c r="E14" s="26"/>
      <c r="F14" s="26"/>
      <c r="G14" s="26"/>
      <c r="H14" s="26"/>
      <c r="I14" s="26"/>
      <c r="J14" s="26"/>
      <c r="K14" s="26"/>
      <c r="L14" s="26"/>
      <c r="M14" s="26"/>
      <c r="N14" s="27"/>
      <c r="O14" s="20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257"/>
      <c r="AA14" s="257"/>
      <c r="AB14" s="257"/>
      <c r="AC14" s="257"/>
      <c r="AD14" s="257"/>
      <c r="AE14" s="257"/>
    </row>
    <row r="15" spans="1:31" x14ac:dyDescent="0.2">
      <c r="A15" s="19"/>
      <c r="B15" s="20"/>
      <c r="C15" s="25"/>
      <c r="D15" s="29"/>
      <c r="E15" s="29"/>
      <c r="F15" s="29"/>
      <c r="G15" s="29"/>
      <c r="H15" s="29"/>
      <c r="I15" s="29"/>
      <c r="J15" s="30"/>
      <c r="K15" s="30"/>
      <c r="L15" s="30"/>
      <c r="M15" s="30"/>
      <c r="N15" s="27"/>
      <c r="O15" s="20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257"/>
      <c r="AA15" s="257"/>
      <c r="AB15" s="257"/>
      <c r="AC15" s="257"/>
      <c r="AD15" s="257"/>
      <c r="AE15" s="257"/>
    </row>
    <row r="16" spans="1:31" x14ac:dyDescent="0.2">
      <c r="A16" s="19"/>
      <c r="B16" s="20"/>
      <c r="C16" s="25"/>
      <c r="D16" s="31" t="s">
        <v>147</v>
      </c>
      <c r="E16" s="29"/>
      <c r="F16" s="29"/>
      <c r="G16" s="29"/>
      <c r="H16" s="29"/>
      <c r="I16" s="29"/>
      <c r="J16" s="29"/>
      <c r="K16" s="29"/>
      <c r="L16" s="29"/>
      <c r="M16" s="29"/>
      <c r="N16" s="27"/>
      <c r="O16" s="20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57"/>
      <c r="AA16" s="257"/>
      <c r="AB16" s="257"/>
      <c r="AC16" s="257"/>
      <c r="AD16" s="257"/>
      <c r="AE16" s="257"/>
    </row>
    <row r="17" spans="1:31" x14ac:dyDescent="0.2">
      <c r="A17" s="19"/>
      <c r="B17" s="20"/>
      <c r="C17" s="25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7"/>
      <c r="O17" s="20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57"/>
      <c r="AA17" s="257"/>
      <c r="AB17" s="257"/>
      <c r="AC17" s="257"/>
      <c r="AD17" s="257"/>
      <c r="AE17" s="257"/>
    </row>
    <row r="18" spans="1:31" x14ac:dyDescent="0.2">
      <c r="A18" s="19"/>
      <c r="B18" s="20"/>
      <c r="C18" s="25"/>
      <c r="D18" s="714" t="s">
        <v>62</v>
      </c>
      <c r="E18" s="715" t="s">
        <v>626</v>
      </c>
      <c r="F18" s="716" t="s">
        <v>627</v>
      </c>
      <c r="G18" s="32"/>
      <c r="H18" s="32"/>
      <c r="I18" s="32"/>
      <c r="J18" s="32"/>
      <c r="K18" s="32"/>
      <c r="L18" s="32"/>
      <c r="M18" s="32"/>
      <c r="N18" s="27"/>
      <c r="O18" s="20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57"/>
      <c r="AA18" s="257"/>
      <c r="AB18" s="257"/>
      <c r="AC18" s="257"/>
      <c r="AD18" s="257"/>
      <c r="AE18" s="257"/>
    </row>
    <row r="19" spans="1:31" ht="18.75" customHeight="1" x14ac:dyDescent="0.2">
      <c r="A19" s="19"/>
      <c r="B19" s="20"/>
      <c r="C19" s="25"/>
      <c r="D19" s="33">
        <v>1</v>
      </c>
      <c r="E19" s="696" t="s">
        <v>231</v>
      </c>
      <c r="F19" s="34" t="s">
        <v>313</v>
      </c>
      <c r="G19" s="34"/>
      <c r="H19" s="34"/>
      <c r="I19" s="34"/>
      <c r="J19" s="34"/>
      <c r="K19" s="34"/>
      <c r="L19" s="34"/>
      <c r="M19" s="35"/>
      <c r="N19" s="27"/>
      <c r="O19" s="20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57"/>
      <c r="AA19" s="257"/>
      <c r="AB19" s="257"/>
      <c r="AC19" s="257"/>
      <c r="AD19" s="257"/>
      <c r="AE19" s="257"/>
    </row>
    <row r="20" spans="1:31" ht="18.75" customHeight="1" x14ac:dyDescent="0.2">
      <c r="A20" s="19"/>
      <c r="B20" s="20"/>
      <c r="C20" s="25"/>
      <c r="D20" s="36">
        <v>2</v>
      </c>
      <c r="E20" s="697" t="s">
        <v>232</v>
      </c>
      <c r="F20" s="26" t="s">
        <v>314</v>
      </c>
      <c r="G20" s="26"/>
      <c r="H20" s="26"/>
      <c r="I20" s="26"/>
      <c r="J20" s="26"/>
      <c r="K20" s="26"/>
      <c r="L20" s="26"/>
      <c r="M20" s="29"/>
      <c r="N20" s="27"/>
      <c r="O20" s="20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57"/>
      <c r="AA20" s="257"/>
      <c r="AB20" s="257"/>
      <c r="AC20" s="257"/>
      <c r="AD20" s="257"/>
      <c r="AE20" s="257"/>
    </row>
    <row r="21" spans="1:31" ht="18.75" customHeight="1" x14ac:dyDescent="0.2">
      <c r="A21" s="19"/>
      <c r="B21" s="20"/>
      <c r="C21" s="25"/>
      <c r="D21" s="36">
        <v>3</v>
      </c>
      <c r="E21" s="697" t="s">
        <v>236</v>
      </c>
      <c r="F21" s="26" t="s">
        <v>315</v>
      </c>
      <c r="G21" s="26"/>
      <c r="H21" s="26"/>
      <c r="I21" s="26"/>
      <c r="J21" s="26"/>
      <c r="K21" s="26"/>
      <c r="L21" s="26"/>
      <c r="M21" s="29"/>
      <c r="N21" s="27"/>
      <c r="O21" s="20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57"/>
      <c r="AA21" s="257"/>
      <c r="AB21" s="257"/>
      <c r="AC21" s="257"/>
      <c r="AD21" s="257"/>
      <c r="AE21" s="257"/>
    </row>
    <row r="22" spans="1:31" ht="18.75" customHeight="1" x14ac:dyDescent="0.2">
      <c r="A22" s="19"/>
      <c r="B22" s="20"/>
      <c r="C22" s="25"/>
      <c r="D22" s="36">
        <v>4</v>
      </c>
      <c r="E22" s="697" t="s">
        <v>310</v>
      </c>
      <c r="F22" s="26" t="s">
        <v>424</v>
      </c>
      <c r="G22" s="26"/>
      <c r="H22" s="26"/>
      <c r="I22" s="26"/>
      <c r="J22" s="26"/>
      <c r="K22" s="26"/>
      <c r="L22" s="26"/>
      <c r="M22" s="29"/>
      <c r="N22" s="27"/>
      <c r="O22" s="20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57"/>
      <c r="AA22" s="257"/>
      <c r="AB22" s="257"/>
      <c r="AC22" s="257"/>
      <c r="AD22" s="257"/>
      <c r="AE22" s="257"/>
    </row>
    <row r="23" spans="1:31" ht="18.75" customHeight="1" x14ac:dyDescent="0.2">
      <c r="A23" s="19"/>
      <c r="B23" s="20"/>
      <c r="C23" s="25"/>
      <c r="D23" s="36">
        <v>5</v>
      </c>
      <c r="E23" s="697" t="s">
        <v>233</v>
      </c>
      <c r="F23" s="26" t="s">
        <v>239</v>
      </c>
      <c r="G23" s="26"/>
      <c r="H23" s="26"/>
      <c r="I23" s="26"/>
      <c r="J23" s="26"/>
      <c r="K23" s="26"/>
      <c r="L23" s="26"/>
      <c r="M23" s="29"/>
      <c r="N23" s="27"/>
      <c r="O23" s="20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57"/>
      <c r="AA23" s="257"/>
      <c r="AB23" s="257"/>
      <c r="AC23" s="257"/>
      <c r="AD23" s="257"/>
      <c r="AE23" s="257"/>
    </row>
    <row r="24" spans="1:31" ht="18.75" customHeight="1" x14ac:dyDescent="0.2">
      <c r="A24" s="19"/>
      <c r="B24" s="20"/>
      <c r="C24" s="25"/>
      <c r="D24" s="36">
        <v>6</v>
      </c>
      <c r="E24" s="697" t="s">
        <v>237</v>
      </c>
      <c r="F24" s="26" t="s">
        <v>238</v>
      </c>
      <c r="G24" s="26"/>
      <c r="H24" s="26"/>
      <c r="I24" s="26"/>
      <c r="J24" s="26"/>
      <c r="K24" s="26"/>
      <c r="L24" s="26"/>
      <c r="M24" s="29"/>
      <c r="N24" s="27"/>
      <c r="O24" s="20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57"/>
      <c r="AA24" s="257"/>
      <c r="AB24" s="257"/>
      <c r="AC24" s="257"/>
      <c r="AD24" s="257"/>
      <c r="AE24" s="257"/>
    </row>
    <row r="25" spans="1:31" ht="18.75" customHeight="1" x14ac:dyDescent="0.2">
      <c r="A25" s="19"/>
      <c r="B25" s="20"/>
      <c r="C25" s="25"/>
      <c r="D25" s="36">
        <v>7</v>
      </c>
      <c r="E25" s="697" t="s">
        <v>235</v>
      </c>
      <c r="F25" s="26" t="s">
        <v>312</v>
      </c>
      <c r="G25" s="26"/>
      <c r="H25" s="26"/>
      <c r="I25" s="26"/>
      <c r="J25" s="26"/>
      <c r="K25" s="26"/>
      <c r="L25" s="26"/>
      <c r="M25" s="29"/>
      <c r="N25" s="27"/>
      <c r="O25" s="20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57"/>
      <c r="AA25" s="257"/>
      <c r="AB25" s="257"/>
      <c r="AC25" s="257"/>
      <c r="AD25" s="257"/>
      <c r="AE25" s="257"/>
    </row>
    <row r="26" spans="1:31" ht="18.75" customHeight="1" x14ac:dyDescent="0.2">
      <c r="A26" s="19"/>
      <c r="B26" s="20"/>
      <c r="C26" s="25"/>
      <c r="D26" s="37">
        <v>8</v>
      </c>
      <c r="E26" s="698" t="s">
        <v>234</v>
      </c>
      <c r="F26" s="209" t="s">
        <v>311</v>
      </c>
      <c r="G26" s="209"/>
      <c r="H26" s="209"/>
      <c r="I26" s="209"/>
      <c r="J26" s="209"/>
      <c r="K26" s="209"/>
      <c r="L26" s="209"/>
      <c r="M26" s="32"/>
      <c r="N26" s="27"/>
      <c r="O26" s="20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57"/>
      <c r="AA26" s="257"/>
      <c r="AB26" s="257"/>
      <c r="AC26" s="257"/>
      <c r="AD26" s="257"/>
      <c r="AE26" s="257"/>
    </row>
    <row r="27" spans="1:31" x14ac:dyDescent="0.2">
      <c r="A27" s="19"/>
      <c r="B27" s="20"/>
      <c r="C27" s="485"/>
      <c r="D27" s="36"/>
      <c r="E27" s="258"/>
      <c r="F27" s="258"/>
      <c r="G27" s="26"/>
      <c r="H27" s="26"/>
      <c r="I27" s="26"/>
      <c r="J27" s="26"/>
      <c r="K27" s="26"/>
      <c r="L27" s="26"/>
      <c r="M27" s="486"/>
      <c r="N27" s="487"/>
      <c r="O27" s="20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57"/>
      <c r="AA27" s="257"/>
      <c r="AB27" s="257"/>
      <c r="AC27" s="257"/>
      <c r="AD27" s="257"/>
      <c r="AE27" s="257"/>
    </row>
    <row r="28" spans="1:31" x14ac:dyDescent="0.2">
      <c r="A28" s="19"/>
      <c r="B28" s="20"/>
      <c r="C28" s="485"/>
      <c r="D28" s="488"/>
      <c r="E28" s="258"/>
      <c r="F28" s="258"/>
      <c r="G28" s="26"/>
      <c r="H28" s="26"/>
      <c r="I28" s="26"/>
      <c r="J28" s="26"/>
      <c r="K28" s="26"/>
      <c r="L28" s="26"/>
      <c r="M28" s="486"/>
      <c r="N28" s="487"/>
      <c r="O28" s="20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57"/>
      <c r="AA28" s="257"/>
      <c r="AB28" s="257"/>
      <c r="AC28" s="257"/>
      <c r="AD28" s="257"/>
      <c r="AE28" s="257"/>
    </row>
    <row r="29" spans="1:31" x14ac:dyDescent="0.2">
      <c r="A29" s="19"/>
      <c r="B29" s="20"/>
      <c r="C29" s="485"/>
      <c r="D29" s="259"/>
      <c r="E29" s="258"/>
      <c r="F29" s="258"/>
      <c r="G29" s="26"/>
      <c r="H29" s="26"/>
      <c r="I29" s="26"/>
      <c r="J29" s="26"/>
      <c r="K29" s="26"/>
      <c r="L29" s="26"/>
      <c r="M29" s="486"/>
      <c r="N29" s="487"/>
      <c r="O29" s="20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57"/>
      <c r="AA29" s="257"/>
      <c r="AB29" s="257"/>
      <c r="AC29" s="257"/>
      <c r="AD29" s="257"/>
      <c r="AE29" s="257"/>
    </row>
    <row r="30" spans="1:31" x14ac:dyDescent="0.2">
      <c r="A30" s="19"/>
      <c r="B30" s="20"/>
      <c r="C30" s="25"/>
      <c r="D30" s="31" t="s">
        <v>148</v>
      </c>
      <c r="E30" s="30"/>
      <c r="F30" s="30"/>
      <c r="G30" s="26"/>
      <c r="H30" s="26"/>
      <c r="I30" s="26"/>
      <c r="J30" s="26"/>
      <c r="K30" s="26"/>
      <c r="L30" s="26"/>
      <c r="M30" s="29"/>
      <c r="N30" s="27"/>
      <c r="O30" s="20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57"/>
      <c r="AA30" s="257"/>
      <c r="AB30" s="257"/>
      <c r="AC30" s="257"/>
      <c r="AD30" s="257"/>
      <c r="AE30" s="257"/>
    </row>
    <row r="31" spans="1:31" x14ac:dyDescent="0.2">
      <c r="A31" s="19"/>
      <c r="B31" s="20"/>
      <c r="C31" s="25"/>
      <c r="D31" s="36"/>
      <c r="E31" s="30"/>
      <c r="F31" s="30"/>
      <c r="G31" s="26"/>
      <c r="H31" s="26"/>
      <c r="I31" s="26"/>
      <c r="J31" s="26"/>
      <c r="K31" s="26"/>
      <c r="L31" s="26"/>
      <c r="M31" s="29"/>
      <c r="N31" s="27"/>
      <c r="O31" s="20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57"/>
      <c r="AA31" s="257"/>
      <c r="AB31" s="257"/>
      <c r="AC31" s="257"/>
      <c r="AD31" s="257"/>
      <c r="AE31" s="257"/>
    </row>
    <row r="32" spans="1:31" x14ac:dyDescent="0.2">
      <c r="A32" s="19"/>
      <c r="B32" s="20"/>
      <c r="C32" s="25"/>
      <c r="D32" s="38">
        <v>0.54300000000000004</v>
      </c>
      <c r="E32" s="30" t="s">
        <v>149</v>
      </c>
      <c r="F32" s="30"/>
      <c r="G32" s="26"/>
      <c r="H32" s="26"/>
      <c r="I32" s="26"/>
      <c r="J32" s="26"/>
      <c r="K32" s="26"/>
      <c r="L32" s="26"/>
      <c r="M32" s="29"/>
      <c r="N32" s="27"/>
      <c r="O32" s="20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57"/>
      <c r="AA32" s="257"/>
      <c r="AB32" s="257"/>
      <c r="AC32" s="257"/>
      <c r="AD32" s="257"/>
      <c r="AE32" s="257"/>
    </row>
    <row r="33" spans="1:31" x14ac:dyDescent="0.2">
      <c r="A33" s="19"/>
      <c r="B33" s="20"/>
      <c r="C33" s="25"/>
      <c r="D33" s="36"/>
      <c r="E33" s="30"/>
      <c r="F33" s="30"/>
      <c r="G33" s="26"/>
      <c r="H33" s="26"/>
      <c r="I33" s="26"/>
      <c r="J33" s="26"/>
      <c r="K33" s="26"/>
      <c r="L33" s="26"/>
      <c r="M33" s="29"/>
      <c r="N33" s="27"/>
      <c r="O33" s="20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57"/>
      <c r="AA33" s="257"/>
      <c r="AB33" s="257"/>
      <c r="AC33" s="257"/>
      <c r="AD33" s="257"/>
      <c r="AE33" s="257"/>
    </row>
    <row r="34" spans="1:31" ht="15.75" x14ac:dyDescent="0.25">
      <c r="A34" s="19"/>
      <c r="B34" s="20"/>
      <c r="C34" s="25"/>
      <c r="D34" s="39" t="s">
        <v>150</v>
      </c>
      <c r="E34" s="30"/>
      <c r="F34" s="30"/>
      <c r="G34" s="26"/>
      <c r="H34" s="26"/>
      <c r="I34" s="26"/>
      <c r="J34" s="26"/>
      <c r="K34" s="26"/>
      <c r="L34" s="26"/>
      <c r="M34" s="29"/>
      <c r="N34" s="27"/>
      <c r="O34" s="20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57"/>
      <c r="AA34" s="257"/>
      <c r="AB34" s="257"/>
      <c r="AC34" s="257"/>
      <c r="AD34" s="257"/>
      <c r="AE34" s="257"/>
    </row>
    <row r="35" spans="1:31" x14ac:dyDescent="0.2">
      <c r="A35" s="19"/>
      <c r="B35" s="20"/>
      <c r="C35" s="25"/>
      <c r="D35" s="167"/>
      <c r="E35" s="30"/>
      <c r="F35" s="30"/>
      <c r="G35" s="30"/>
      <c r="H35" s="30"/>
      <c r="I35" s="30"/>
      <c r="J35" s="30"/>
      <c r="K35" s="30"/>
      <c r="L35" s="30"/>
      <c r="M35" s="30"/>
      <c r="N35" s="27"/>
      <c r="O35" s="20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57"/>
      <c r="AA35" s="257"/>
      <c r="AB35" s="257"/>
      <c r="AC35" s="257"/>
      <c r="AD35" s="257"/>
      <c r="AE35" s="257"/>
    </row>
    <row r="36" spans="1:31" x14ac:dyDescent="0.2">
      <c r="A36" s="19"/>
      <c r="B36" s="20"/>
      <c r="C36" s="25"/>
      <c r="D36" s="167" t="s">
        <v>452</v>
      </c>
      <c r="E36" s="30"/>
      <c r="F36" s="30"/>
      <c r="G36" s="30"/>
      <c r="H36" s="30"/>
      <c r="I36" s="30"/>
      <c r="J36" s="30"/>
      <c r="K36" s="30"/>
      <c r="L36" s="30"/>
      <c r="M36" s="30"/>
      <c r="N36" s="27"/>
      <c r="O36" s="20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257"/>
      <c r="AA36" s="257"/>
      <c r="AB36" s="257"/>
      <c r="AC36" s="257"/>
      <c r="AD36" s="257"/>
      <c r="AE36" s="257"/>
    </row>
    <row r="37" spans="1:31" x14ac:dyDescent="0.2">
      <c r="A37" s="19"/>
      <c r="B37" s="20"/>
      <c r="C37" s="25"/>
      <c r="D37" s="258" t="s">
        <v>453</v>
      </c>
      <c r="E37" s="30"/>
      <c r="F37" s="30"/>
      <c r="G37" s="30"/>
      <c r="H37" s="30"/>
      <c r="I37" s="30"/>
      <c r="J37" s="30"/>
      <c r="K37" s="30"/>
      <c r="L37" s="30"/>
      <c r="M37" s="30"/>
      <c r="N37" s="27"/>
      <c r="O37" s="20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257"/>
      <c r="AA37" s="257"/>
      <c r="AB37" s="257"/>
      <c r="AC37" s="257"/>
      <c r="AD37" s="257"/>
      <c r="AE37" s="257"/>
    </row>
    <row r="38" spans="1:31" ht="13.5" thickBot="1" x14ac:dyDescent="0.25">
      <c r="A38" s="19"/>
      <c r="B38" s="20"/>
      <c r="C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2"/>
      <c r="O38" s="20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257"/>
      <c r="AA38" s="257"/>
      <c r="AB38" s="257"/>
      <c r="AC38" s="257"/>
      <c r="AD38" s="257"/>
      <c r="AE38" s="257"/>
    </row>
    <row r="39" spans="1:31" x14ac:dyDescent="0.2">
      <c r="A39" s="19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257"/>
      <c r="AA39" s="257"/>
      <c r="AB39" s="257"/>
      <c r="AC39" s="257"/>
      <c r="AD39" s="257"/>
      <c r="AE39" s="257"/>
    </row>
    <row r="40" spans="1:31" x14ac:dyDescent="0.2">
      <c r="A40" s="19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257"/>
      <c r="AA40" s="257"/>
      <c r="AB40" s="257"/>
      <c r="AC40" s="257"/>
      <c r="AD40" s="257"/>
      <c r="AE40" s="257"/>
    </row>
    <row r="41" spans="1:31" x14ac:dyDescent="0.2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257"/>
      <c r="AA41" s="257"/>
      <c r="AB41" s="257"/>
      <c r="AC41" s="257"/>
      <c r="AD41" s="257"/>
      <c r="AE41" s="257"/>
    </row>
    <row r="42" spans="1:31" x14ac:dyDescent="0.2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257"/>
      <c r="AA42" s="257"/>
      <c r="AB42" s="257"/>
      <c r="AC42" s="257"/>
      <c r="AD42" s="257"/>
      <c r="AE42" s="257"/>
    </row>
    <row r="43" spans="1:31" x14ac:dyDescent="0.2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257"/>
      <c r="AA43" s="257"/>
      <c r="AB43" s="257"/>
      <c r="AC43" s="257"/>
      <c r="AD43" s="257"/>
      <c r="AE43" s="257"/>
    </row>
    <row r="44" spans="1:31" x14ac:dyDescent="0.2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257"/>
      <c r="AA44" s="257"/>
      <c r="AB44" s="257"/>
      <c r="AC44" s="257"/>
      <c r="AD44" s="257"/>
      <c r="AE44" s="257"/>
    </row>
    <row r="45" spans="1:31" x14ac:dyDescent="0.2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257"/>
      <c r="AA45" s="257"/>
      <c r="AB45" s="257"/>
      <c r="AC45" s="257"/>
      <c r="AD45" s="257"/>
      <c r="AE45" s="257"/>
    </row>
    <row r="46" spans="1:31" x14ac:dyDescent="0.2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257"/>
      <c r="AA46" s="257"/>
      <c r="AB46" s="257"/>
      <c r="AC46" s="257"/>
      <c r="AD46" s="257"/>
      <c r="AE46" s="257"/>
    </row>
    <row r="47" spans="1:31" x14ac:dyDescent="0.2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257"/>
      <c r="AA47" s="257"/>
      <c r="AB47" s="257"/>
      <c r="AC47" s="257"/>
      <c r="AD47" s="257"/>
      <c r="AE47" s="257"/>
    </row>
    <row r="48" spans="1:31" x14ac:dyDescent="0.2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257"/>
      <c r="AA48" s="257"/>
      <c r="AB48" s="257"/>
      <c r="AC48" s="257"/>
      <c r="AD48" s="257"/>
      <c r="AE48" s="257"/>
    </row>
    <row r="49" spans="1:31" x14ac:dyDescent="0.2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257"/>
      <c r="AA49" s="257"/>
      <c r="AB49" s="257"/>
      <c r="AC49" s="257"/>
      <c r="AD49" s="257"/>
      <c r="AE49" s="257"/>
    </row>
    <row r="50" spans="1:31" x14ac:dyDescent="0.2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257"/>
      <c r="AA50" s="257"/>
      <c r="AB50" s="257"/>
      <c r="AC50" s="257"/>
      <c r="AD50" s="257"/>
      <c r="AE50" s="257"/>
    </row>
    <row r="51" spans="1:31" x14ac:dyDescent="0.2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257"/>
      <c r="AA51" s="257"/>
      <c r="AB51" s="257"/>
      <c r="AC51" s="257"/>
      <c r="AD51" s="257"/>
      <c r="AE51" s="257"/>
    </row>
    <row r="52" spans="1:31" x14ac:dyDescent="0.2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257"/>
      <c r="AA52" s="257"/>
      <c r="AB52" s="257"/>
      <c r="AC52" s="257"/>
      <c r="AD52" s="257"/>
      <c r="AE52" s="257"/>
    </row>
    <row r="53" spans="1:31" x14ac:dyDescent="0.2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257"/>
      <c r="AA53" s="257"/>
      <c r="AB53" s="257"/>
      <c r="AC53" s="257"/>
      <c r="AD53" s="257"/>
      <c r="AE53" s="257"/>
    </row>
    <row r="54" spans="1:31" x14ac:dyDescent="0.2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257"/>
      <c r="AA54" s="257"/>
      <c r="AB54" s="257"/>
      <c r="AC54" s="257"/>
      <c r="AD54" s="257"/>
      <c r="AE54" s="257"/>
    </row>
    <row r="55" spans="1:31" x14ac:dyDescent="0.2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257"/>
      <c r="AA55" s="257"/>
      <c r="AB55" s="257"/>
      <c r="AC55" s="257"/>
      <c r="AD55" s="257"/>
      <c r="AE55" s="257"/>
    </row>
    <row r="56" spans="1:31" x14ac:dyDescent="0.2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257"/>
      <c r="AA56" s="257"/>
      <c r="AB56" s="257"/>
      <c r="AC56" s="257"/>
      <c r="AD56" s="257"/>
      <c r="AE56" s="257"/>
    </row>
    <row r="57" spans="1:31" x14ac:dyDescent="0.2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257"/>
      <c r="AA57" s="257"/>
      <c r="AB57" s="257"/>
      <c r="AC57" s="257"/>
      <c r="AD57" s="257"/>
      <c r="AE57" s="257"/>
    </row>
    <row r="58" spans="1:31" x14ac:dyDescent="0.2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257"/>
      <c r="AA58" s="257"/>
      <c r="AB58" s="257"/>
      <c r="AC58" s="257"/>
      <c r="AD58" s="257"/>
      <c r="AE58" s="257"/>
    </row>
    <row r="59" spans="1:31" x14ac:dyDescent="0.2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257"/>
      <c r="AA59" s="257"/>
      <c r="AB59" s="257"/>
      <c r="AC59" s="257"/>
      <c r="AD59" s="257"/>
      <c r="AE59" s="257"/>
    </row>
    <row r="60" spans="1:31" x14ac:dyDescent="0.2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257"/>
      <c r="AA60" s="257"/>
      <c r="AB60" s="257"/>
      <c r="AC60" s="257"/>
      <c r="AD60" s="257"/>
      <c r="AE60" s="257"/>
    </row>
    <row r="61" spans="1:31" x14ac:dyDescent="0.2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257"/>
      <c r="AA61" s="257"/>
      <c r="AB61" s="257"/>
      <c r="AC61" s="257"/>
      <c r="AD61" s="257"/>
      <c r="AE61" s="257"/>
    </row>
    <row r="62" spans="1:31" x14ac:dyDescent="0.2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257"/>
      <c r="AA62" s="257"/>
      <c r="AB62" s="257"/>
      <c r="AC62" s="257"/>
      <c r="AD62" s="257"/>
      <c r="AE62" s="257"/>
    </row>
    <row r="63" spans="1:31" x14ac:dyDescent="0.2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257"/>
      <c r="AA63" s="257"/>
      <c r="AB63" s="257"/>
      <c r="AC63" s="257"/>
      <c r="AD63" s="257"/>
      <c r="AE63" s="257"/>
    </row>
    <row r="64" spans="1:31" ht="15" x14ac:dyDescent="0.25">
      <c r="A64" s="166"/>
      <c r="B64" s="166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257"/>
      <c r="AA64" s="257"/>
      <c r="AB64" s="257"/>
      <c r="AC64" s="257"/>
      <c r="AD64" s="257"/>
      <c r="AE64" s="257"/>
    </row>
    <row r="65" spans="1:31" ht="15" x14ac:dyDescent="0.25">
      <c r="A65" s="166"/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257"/>
      <c r="AA65" s="257"/>
      <c r="AB65" s="257"/>
      <c r="AC65" s="257"/>
      <c r="AD65" s="257"/>
      <c r="AE65" s="257"/>
    </row>
    <row r="66" spans="1:31" ht="15" x14ac:dyDescent="0.25">
      <c r="A66" s="166"/>
      <c r="B66" s="483" t="s">
        <v>439</v>
      </c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257"/>
      <c r="AA66" s="257"/>
      <c r="AB66" s="257"/>
      <c r="AC66" s="257"/>
      <c r="AD66" s="257"/>
      <c r="AE66" s="257"/>
    </row>
    <row r="67" spans="1:31" ht="15" x14ac:dyDescent="0.25">
      <c r="A67" s="166"/>
      <c r="B67" s="483"/>
      <c r="C67" s="315"/>
      <c r="D67" s="315"/>
      <c r="E67" s="315"/>
      <c r="F67" s="699"/>
      <c r="G67" s="699"/>
      <c r="H67" s="699"/>
      <c r="I67" s="699"/>
      <c r="J67" s="699"/>
      <c r="K67" s="699"/>
      <c r="L67" s="699"/>
      <c r="M67" s="699"/>
      <c r="N67" s="699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257"/>
      <c r="AA67" s="257"/>
      <c r="AB67" s="257"/>
      <c r="AC67" s="257"/>
      <c r="AD67" s="257"/>
      <c r="AE67" s="257"/>
    </row>
    <row r="68" spans="1:31" ht="15" x14ac:dyDescent="0.25">
      <c r="A68" s="166"/>
      <c r="B68" s="483"/>
      <c r="C68" s="700" t="s">
        <v>622</v>
      </c>
      <c r="D68" s="315"/>
      <c r="E68" s="315"/>
      <c r="F68" s="699"/>
      <c r="G68" s="699"/>
      <c r="H68" s="699"/>
      <c r="I68" s="699"/>
      <c r="J68" s="699"/>
      <c r="K68" s="699"/>
      <c r="L68" s="699"/>
      <c r="M68" s="699"/>
      <c r="N68" s="699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257"/>
      <c r="AA68" s="257"/>
      <c r="AB68" s="257"/>
      <c r="AC68" s="257"/>
      <c r="AD68" s="257"/>
      <c r="AE68" s="257"/>
    </row>
    <row r="69" spans="1:31" ht="15" x14ac:dyDescent="0.25">
      <c r="A69" s="166"/>
      <c r="B69" s="483"/>
      <c r="C69" s="713" t="s">
        <v>624</v>
      </c>
      <c r="D69" s="315"/>
      <c r="E69" s="315"/>
      <c r="F69" s="699"/>
      <c r="G69" s="699"/>
      <c r="H69" s="699"/>
      <c r="I69" s="699"/>
      <c r="J69" s="699"/>
      <c r="K69" s="699"/>
      <c r="L69" s="699"/>
      <c r="M69" s="699"/>
      <c r="N69" s="699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257"/>
      <c r="AA69" s="257"/>
      <c r="AB69" s="257"/>
      <c r="AC69" s="257"/>
      <c r="AD69" s="257"/>
      <c r="AE69" s="257"/>
    </row>
    <row r="70" spans="1:31" s="676" customFormat="1" x14ac:dyDescent="0.2">
      <c r="A70" s="707"/>
      <c r="B70" s="488"/>
      <c r="C70" s="706" t="s">
        <v>623</v>
      </c>
      <c r="D70" s="705"/>
      <c r="E70" s="704"/>
      <c r="F70" s="710"/>
      <c r="G70" s="710"/>
      <c r="H70" s="710"/>
      <c r="I70" s="710"/>
      <c r="J70" s="710"/>
      <c r="K70" s="710"/>
      <c r="L70" s="710"/>
      <c r="M70" s="710"/>
      <c r="N70" s="710"/>
      <c r="O70" s="710"/>
      <c r="P70" s="710"/>
      <c r="Q70" s="710"/>
      <c r="R70" s="710"/>
      <c r="S70" s="710"/>
      <c r="T70" s="710"/>
      <c r="U70" s="710"/>
      <c r="V70" s="710"/>
      <c r="W70" s="710"/>
      <c r="X70" s="710"/>
      <c r="Y70" s="710"/>
      <c r="Z70" s="710"/>
      <c r="AA70" s="706"/>
      <c r="AB70" s="675"/>
      <c r="AC70" s="675"/>
      <c r="AD70" s="675"/>
      <c r="AE70" s="675"/>
    </row>
    <row r="71" spans="1:31" s="676" customFormat="1" x14ac:dyDescent="0.2">
      <c r="A71" s="707"/>
      <c r="B71" s="488"/>
      <c r="C71" s="706" t="s">
        <v>606</v>
      </c>
      <c r="D71" s="705"/>
      <c r="E71" s="703"/>
      <c r="F71" s="711"/>
      <c r="G71" s="711"/>
      <c r="H71" s="711"/>
      <c r="I71" s="711"/>
      <c r="J71" s="711"/>
      <c r="K71" s="711"/>
      <c r="L71" s="711"/>
      <c r="M71" s="711"/>
      <c r="N71" s="711"/>
      <c r="O71" s="711"/>
      <c r="P71" s="711"/>
      <c r="Q71" s="711"/>
      <c r="R71" s="711"/>
      <c r="S71" s="711"/>
      <c r="T71" s="711"/>
      <c r="U71" s="711"/>
      <c r="V71" s="711"/>
      <c r="W71" s="711"/>
      <c r="X71" s="711"/>
      <c r="Y71" s="711"/>
      <c r="Z71" s="711"/>
      <c r="AA71" s="675"/>
      <c r="AB71" s="675"/>
      <c r="AC71" s="675"/>
      <c r="AD71" s="675"/>
      <c r="AE71" s="675"/>
    </row>
    <row r="72" spans="1:31" s="676" customFormat="1" x14ac:dyDescent="0.2">
      <c r="A72" s="707"/>
      <c r="B72" s="488"/>
      <c r="C72" s="706" t="s">
        <v>607</v>
      </c>
      <c r="D72" s="705"/>
      <c r="E72" s="703"/>
      <c r="F72" s="711"/>
      <c r="G72" s="710"/>
      <c r="H72" s="710"/>
      <c r="I72" s="710"/>
      <c r="J72" s="710"/>
      <c r="K72" s="710"/>
      <c r="L72" s="710"/>
      <c r="M72" s="710"/>
      <c r="N72" s="710"/>
      <c r="O72" s="710"/>
      <c r="P72" s="710"/>
      <c r="Q72" s="710"/>
      <c r="R72" s="710"/>
      <c r="S72" s="710"/>
      <c r="T72" s="710"/>
      <c r="U72" s="710"/>
      <c r="V72" s="710"/>
      <c r="W72" s="710"/>
      <c r="X72" s="710"/>
      <c r="Y72" s="710"/>
      <c r="Z72" s="710"/>
      <c r="AA72" s="675"/>
      <c r="AB72" s="675"/>
      <c r="AC72" s="675"/>
      <c r="AD72" s="675"/>
      <c r="AE72" s="675"/>
    </row>
    <row r="73" spans="1:31" s="676" customFormat="1" x14ac:dyDescent="0.2">
      <c r="A73" s="707"/>
      <c r="B73" s="488"/>
      <c r="C73" s="706" t="s">
        <v>608</v>
      </c>
      <c r="D73" s="705"/>
      <c r="E73" s="703"/>
      <c r="F73" s="711"/>
      <c r="G73" s="710"/>
      <c r="H73" s="710"/>
      <c r="I73" s="710"/>
      <c r="J73" s="710"/>
      <c r="K73" s="710"/>
      <c r="L73" s="710"/>
      <c r="M73" s="710"/>
      <c r="N73" s="710"/>
      <c r="O73" s="710"/>
      <c r="P73" s="710"/>
      <c r="Q73" s="710"/>
      <c r="R73" s="710"/>
      <c r="S73" s="710"/>
      <c r="T73" s="710"/>
      <c r="U73" s="710"/>
      <c r="V73" s="710"/>
      <c r="W73" s="710"/>
      <c r="X73" s="710"/>
      <c r="Y73" s="710"/>
      <c r="Z73" s="710"/>
      <c r="AA73" s="675"/>
      <c r="AB73" s="675"/>
      <c r="AC73" s="675"/>
      <c r="AD73" s="675"/>
      <c r="AE73" s="675"/>
    </row>
    <row r="74" spans="1:31" s="676" customFormat="1" x14ac:dyDescent="0.2">
      <c r="A74" s="707"/>
      <c r="B74" s="488"/>
      <c r="C74" s="706" t="s">
        <v>609</v>
      </c>
      <c r="D74" s="705"/>
      <c r="E74" s="703"/>
      <c r="F74" s="711"/>
      <c r="G74" s="711"/>
      <c r="H74" s="711"/>
      <c r="I74" s="711"/>
      <c r="J74" s="711"/>
      <c r="K74" s="711"/>
      <c r="L74" s="711"/>
      <c r="M74" s="711"/>
      <c r="N74" s="711"/>
      <c r="O74" s="711"/>
      <c r="P74" s="711"/>
      <c r="Q74" s="711"/>
      <c r="R74" s="711"/>
      <c r="S74" s="711"/>
      <c r="T74" s="711"/>
      <c r="U74" s="711"/>
      <c r="V74" s="711"/>
      <c r="W74" s="711"/>
      <c r="X74" s="711"/>
      <c r="Y74" s="711"/>
      <c r="Z74" s="711"/>
      <c r="AA74" s="675"/>
      <c r="AB74" s="675"/>
      <c r="AC74" s="675"/>
      <c r="AD74" s="675"/>
      <c r="AE74" s="675"/>
    </row>
    <row r="75" spans="1:31" s="676" customFormat="1" x14ac:dyDescent="0.2">
      <c r="A75" s="707"/>
      <c r="B75" s="488"/>
      <c r="C75" s="706" t="s">
        <v>610</v>
      </c>
      <c r="D75" s="705"/>
      <c r="E75" s="703"/>
      <c r="F75" s="711"/>
      <c r="G75" s="710"/>
      <c r="H75" s="710"/>
      <c r="I75" s="710"/>
      <c r="J75" s="710"/>
      <c r="K75" s="710"/>
      <c r="L75" s="710"/>
      <c r="M75" s="710"/>
      <c r="N75" s="710"/>
      <c r="O75" s="710"/>
      <c r="P75" s="710"/>
      <c r="Q75" s="710"/>
      <c r="R75" s="710"/>
      <c r="S75" s="710"/>
      <c r="T75" s="710"/>
      <c r="U75" s="710"/>
      <c r="V75" s="710"/>
      <c r="W75" s="710"/>
      <c r="X75" s="710"/>
      <c r="Y75" s="710"/>
      <c r="Z75" s="710"/>
      <c r="AA75" s="675"/>
      <c r="AB75" s="675"/>
      <c r="AC75" s="675"/>
      <c r="AD75" s="675"/>
      <c r="AE75" s="675"/>
    </row>
    <row r="76" spans="1:31" s="676" customFormat="1" x14ac:dyDescent="0.2">
      <c r="A76" s="707"/>
      <c r="B76" s="488"/>
      <c r="C76" s="706" t="s">
        <v>592</v>
      </c>
      <c r="D76" s="705"/>
      <c r="E76" s="703"/>
      <c r="F76" s="710"/>
      <c r="G76" s="710"/>
      <c r="H76" s="710"/>
      <c r="I76" s="710"/>
      <c r="J76" s="710"/>
      <c r="K76" s="710"/>
      <c r="L76" s="710"/>
      <c r="M76" s="710"/>
      <c r="N76" s="710"/>
      <c r="O76" s="710"/>
      <c r="P76" s="710"/>
      <c r="Q76" s="710"/>
      <c r="R76" s="710"/>
      <c r="S76" s="710"/>
      <c r="T76" s="710"/>
      <c r="U76" s="710"/>
      <c r="V76" s="710"/>
      <c r="W76" s="710"/>
      <c r="X76" s="710"/>
      <c r="Y76" s="710"/>
      <c r="Z76" s="710"/>
      <c r="AA76" s="675"/>
      <c r="AB76" s="675"/>
      <c r="AC76" s="675"/>
      <c r="AD76" s="675"/>
      <c r="AE76" s="675"/>
    </row>
    <row r="77" spans="1:31" s="676" customFormat="1" x14ac:dyDescent="0.2">
      <c r="A77" s="707"/>
      <c r="B77" s="488"/>
      <c r="C77" s="706" t="s">
        <v>593</v>
      </c>
      <c r="D77" s="705"/>
      <c r="E77" s="703"/>
      <c r="F77" s="710"/>
      <c r="G77" s="710"/>
      <c r="H77" s="710"/>
      <c r="I77" s="710"/>
      <c r="J77" s="710"/>
      <c r="K77" s="710"/>
      <c r="L77" s="710"/>
      <c r="M77" s="710"/>
      <c r="N77" s="710"/>
      <c r="O77" s="710"/>
      <c r="P77" s="710"/>
      <c r="Q77" s="710"/>
      <c r="R77" s="710"/>
      <c r="S77" s="710"/>
      <c r="T77" s="710"/>
      <c r="U77" s="710"/>
      <c r="V77" s="710"/>
      <c r="W77" s="710"/>
      <c r="X77" s="710"/>
      <c r="Y77" s="710"/>
      <c r="Z77" s="710"/>
      <c r="AA77" s="675"/>
      <c r="AB77" s="675"/>
      <c r="AC77" s="675"/>
      <c r="AD77" s="675"/>
      <c r="AE77" s="675"/>
    </row>
    <row r="78" spans="1:31" s="676" customFormat="1" x14ac:dyDescent="0.2">
      <c r="A78" s="707"/>
      <c r="B78" s="488"/>
      <c r="C78" s="83" t="s">
        <v>625</v>
      </c>
      <c r="D78" s="705"/>
      <c r="E78" s="703"/>
      <c r="F78" s="710"/>
      <c r="G78" s="710"/>
      <c r="H78" s="710"/>
      <c r="I78" s="710"/>
      <c r="J78" s="710"/>
      <c r="K78" s="710"/>
      <c r="L78" s="710"/>
      <c r="M78" s="710"/>
      <c r="N78" s="710"/>
      <c r="O78" s="710"/>
      <c r="P78" s="710"/>
      <c r="Q78" s="710"/>
      <c r="R78" s="710"/>
      <c r="S78" s="710"/>
      <c r="T78" s="710"/>
      <c r="U78" s="710"/>
      <c r="V78" s="710"/>
      <c r="W78" s="710"/>
      <c r="X78" s="710"/>
      <c r="Y78" s="710"/>
      <c r="Z78" s="710"/>
      <c r="AA78" s="675"/>
      <c r="AB78" s="675"/>
      <c r="AC78" s="675"/>
      <c r="AD78" s="675"/>
      <c r="AE78" s="675"/>
    </row>
    <row r="79" spans="1:31" s="676" customFormat="1" x14ac:dyDescent="0.2">
      <c r="A79" s="707"/>
      <c r="B79" s="706"/>
      <c r="C79" s="705"/>
      <c r="D79" s="705"/>
      <c r="E79" s="704"/>
      <c r="F79" s="704"/>
      <c r="G79" s="704"/>
      <c r="H79" s="704"/>
      <c r="I79" s="704"/>
      <c r="J79" s="704"/>
      <c r="K79" s="704"/>
      <c r="L79" s="704"/>
      <c r="M79" s="704"/>
      <c r="N79" s="704"/>
      <c r="O79" s="704"/>
      <c r="P79" s="704"/>
      <c r="Q79" s="704"/>
      <c r="R79" s="704"/>
      <c r="S79" s="704"/>
      <c r="T79" s="704"/>
      <c r="U79" s="704"/>
      <c r="V79" s="704"/>
      <c r="W79" s="704"/>
      <c r="X79" s="704"/>
      <c r="Y79" s="704"/>
      <c r="Z79" s="705"/>
      <c r="AA79" s="675"/>
      <c r="AB79" s="675"/>
      <c r="AC79" s="675"/>
      <c r="AD79" s="675"/>
      <c r="AE79" s="675"/>
    </row>
    <row r="80" spans="1:31" s="676" customFormat="1" x14ac:dyDescent="0.2">
      <c r="A80" s="707"/>
      <c r="B80" s="706"/>
      <c r="C80" s="700" t="s">
        <v>594</v>
      </c>
      <c r="D80" s="705"/>
      <c r="E80" s="704"/>
      <c r="F80" s="704"/>
      <c r="G80" s="704"/>
      <c r="H80" s="704"/>
      <c r="I80" s="704"/>
      <c r="J80" s="704"/>
      <c r="K80" s="704"/>
      <c r="L80" s="704"/>
      <c r="M80" s="704"/>
      <c r="N80" s="704"/>
      <c r="O80" s="704"/>
      <c r="P80" s="704"/>
      <c r="Q80" s="704"/>
      <c r="R80" s="704"/>
      <c r="S80" s="704"/>
      <c r="T80" s="704"/>
      <c r="U80" s="704"/>
      <c r="V80" s="704"/>
      <c r="W80" s="704"/>
      <c r="X80" s="704"/>
      <c r="Y80" s="704"/>
      <c r="Z80" s="705"/>
      <c r="AA80" s="675"/>
      <c r="AB80" s="675"/>
      <c r="AC80" s="675"/>
      <c r="AD80" s="675"/>
      <c r="AE80" s="675"/>
    </row>
    <row r="81" spans="1:31" x14ac:dyDescent="0.2">
      <c r="A81" s="707"/>
      <c r="B81" s="257"/>
      <c r="C81" s="707" t="s">
        <v>611</v>
      </c>
      <c r="D81" s="704"/>
      <c r="E81" s="703"/>
      <c r="F81" s="711"/>
      <c r="G81" s="710"/>
      <c r="H81" s="710"/>
      <c r="I81" s="710"/>
      <c r="J81" s="710"/>
      <c r="K81" s="710"/>
      <c r="L81" s="710"/>
      <c r="M81" s="710"/>
      <c r="N81" s="710"/>
      <c r="O81" s="710"/>
      <c r="P81" s="710"/>
      <c r="Q81" s="710"/>
      <c r="R81" s="710"/>
      <c r="S81" s="710"/>
      <c r="T81" s="710"/>
      <c r="U81" s="710"/>
      <c r="V81" s="710"/>
      <c r="W81" s="710"/>
      <c r="X81" s="710"/>
      <c r="Y81" s="710"/>
      <c r="Z81" s="710"/>
      <c r="AA81" s="675"/>
      <c r="AB81" s="675"/>
      <c r="AC81" s="675"/>
      <c r="AD81" s="675"/>
      <c r="AE81" s="675"/>
    </row>
    <row r="82" spans="1:31" x14ac:dyDescent="0.2">
      <c r="A82" s="707"/>
      <c r="B82" s="257"/>
      <c r="C82" s="707" t="s">
        <v>612</v>
      </c>
      <c r="D82" s="704"/>
      <c r="E82" s="703"/>
      <c r="F82" s="711"/>
      <c r="G82" s="710"/>
      <c r="H82" s="710"/>
      <c r="I82" s="710"/>
      <c r="J82" s="710"/>
      <c r="K82" s="710"/>
      <c r="L82" s="710"/>
      <c r="M82" s="710"/>
      <c r="N82" s="710"/>
      <c r="O82" s="710"/>
      <c r="P82" s="710"/>
      <c r="Q82" s="710"/>
      <c r="R82" s="710"/>
      <c r="S82" s="710"/>
      <c r="T82" s="710"/>
      <c r="U82" s="710"/>
      <c r="V82" s="710"/>
      <c r="W82" s="710"/>
      <c r="X82" s="710"/>
      <c r="Y82" s="710"/>
      <c r="Z82" s="710"/>
      <c r="AA82" s="675"/>
      <c r="AB82" s="675"/>
      <c r="AC82" s="675"/>
      <c r="AD82" s="675"/>
      <c r="AE82" s="675"/>
    </row>
    <row r="83" spans="1:31" x14ac:dyDescent="0.2">
      <c r="A83" s="707"/>
      <c r="B83" s="257"/>
      <c r="C83" s="707" t="s">
        <v>613</v>
      </c>
      <c r="D83" s="704"/>
      <c r="E83" s="703"/>
      <c r="F83" s="711"/>
      <c r="G83" s="710"/>
      <c r="H83" s="710"/>
      <c r="I83" s="710"/>
      <c r="J83" s="710"/>
      <c r="K83" s="710"/>
      <c r="L83" s="710"/>
      <c r="M83" s="710"/>
      <c r="N83" s="710"/>
      <c r="O83" s="710"/>
      <c r="P83" s="710"/>
      <c r="Q83" s="710"/>
      <c r="R83" s="710"/>
      <c r="S83" s="710"/>
      <c r="T83" s="710"/>
      <c r="U83" s="710"/>
      <c r="V83" s="710"/>
      <c r="W83" s="710"/>
      <c r="X83" s="710"/>
      <c r="Y83" s="710"/>
      <c r="Z83" s="710"/>
      <c r="AA83" s="675"/>
      <c r="AB83" s="675"/>
      <c r="AC83" s="675"/>
      <c r="AD83" s="675"/>
      <c r="AE83" s="675"/>
    </row>
    <row r="84" spans="1:31" x14ac:dyDescent="0.2">
      <c r="A84" s="707"/>
      <c r="B84" s="257"/>
      <c r="C84" s="707" t="s">
        <v>614</v>
      </c>
      <c r="D84" s="704"/>
      <c r="E84" s="703"/>
      <c r="F84" s="711"/>
      <c r="G84" s="710"/>
      <c r="H84" s="710"/>
      <c r="I84" s="710"/>
      <c r="J84" s="710"/>
      <c r="K84" s="710"/>
      <c r="L84" s="710"/>
      <c r="M84" s="710"/>
      <c r="N84" s="710"/>
      <c r="O84" s="710"/>
      <c r="P84" s="710"/>
      <c r="Q84" s="710"/>
      <c r="R84" s="710"/>
      <c r="S84" s="710"/>
      <c r="T84" s="710"/>
      <c r="U84" s="710"/>
      <c r="V84" s="710"/>
      <c r="W84" s="710"/>
      <c r="X84" s="710"/>
      <c r="Y84" s="710"/>
      <c r="Z84" s="710"/>
      <c r="AA84" s="675"/>
      <c r="AB84" s="675"/>
      <c r="AC84" s="675"/>
      <c r="AD84" s="675"/>
      <c r="AE84" s="675"/>
    </row>
    <row r="85" spans="1:31" x14ac:dyDescent="0.2">
      <c r="A85" s="707"/>
      <c r="B85" s="257"/>
      <c r="C85" s="707" t="s">
        <v>615</v>
      </c>
      <c r="D85" s="704"/>
      <c r="E85" s="703"/>
      <c r="F85" s="711"/>
      <c r="G85" s="710"/>
      <c r="H85" s="710"/>
      <c r="I85" s="710"/>
      <c r="J85" s="710"/>
      <c r="K85" s="710"/>
      <c r="L85" s="710"/>
      <c r="M85" s="710"/>
      <c r="N85" s="710"/>
      <c r="O85" s="710"/>
      <c r="P85" s="710"/>
      <c r="Q85" s="710"/>
      <c r="R85" s="710"/>
      <c r="S85" s="710"/>
      <c r="T85" s="710"/>
      <c r="U85" s="710"/>
      <c r="V85" s="710"/>
      <c r="W85" s="710"/>
      <c r="X85" s="710"/>
      <c r="Y85" s="710"/>
      <c r="Z85" s="710"/>
      <c r="AA85" s="675"/>
      <c r="AB85" s="675"/>
      <c r="AC85" s="675"/>
      <c r="AD85" s="675"/>
      <c r="AE85" s="675"/>
    </row>
    <row r="86" spans="1:31" x14ac:dyDescent="0.2">
      <c r="A86" s="707"/>
      <c r="B86" s="257"/>
      <c r="C86" s="707" t="s">
        <v>616</v>
      </c>
      <c r="D86" s="704"/>
      <c r="E86" s="703"/>
      <c r="F86" s="711"/>
      <c r="G86" s="710"/>
      <c r="H86" s="710"/>
      <c r="I86" s="710"/>
      <c r="J86" s="710"/>
      <c r="K86" s="710"/>
      <c r="L86" s="710"/>
      <c r="M86" s="710"/>
      <c r="N86" s="710"/>
      <c r="O86" s="710"/>
      <c r="P86" s="710"/>
      <c r="Q86" s="710"/>
      <c r="R86" s="710"/>
      <c r="S86" s="710"/>
      <c r="T86" s="710"/>
      <c r="U86" s="710"/>
      <c r="V86" s="710"/>
      <c r="W86" s="710"/>
      <c r="X86" s="710"/>
      <c r="Y86" s="710"/>
      <c r="Z86" s="710"/>
      <c r="AA86" s="675"/>
      <c r="AB86" s="675"/>
      <c r="AC86" s="675"/>
      <c r="AD86" s="675"/>
      <c r="AE86" s="675"/>
    </row>
    <row r="87" spans="1:31" x14ac:dyDescent="0.2">
      <c r="A87" s="707"/>
      <c r="B87" s="707"/>
      <c r="C87" s="708"/>
      <c r="D87" s="704"/>
      <c r="E87" s="704"/>
      <c r="F87" s="704"/>
      <c r="G87" s="704"/>
      <c r="H87" s="704"/>
      <c r="I87" s="704"/>
      <c r="J87" s="704"/>
      <c r="K87" s="704"/>
      <c r="L87" s="704"/>
      <c r="M87" s="704"/>
      <c r="N87" s="704"/>
      <c r="O87" s="704"/>
      <c r="P87" s="704"/>
      <c r="Q87" s="704"/>
      <c r="R87" s="704"/>
      <c r="S87" s="704"/>
      <c r="T87" s="704"/>
      <c r="U87" s="704"/>
      <c r="V87" s="704"/>
      <c r="W87" s="704"/>
      <c r="X87" s="704"/>
      <c r="Y87" s="704"/>
      <c r="Z87" s="705"/>
      <c r="AA87" s="675"/>
      <c r="AB87" s="675"/>
      <c r="AC87" s="675"/>
      <c r="AD87" s="675"/>
      <c r="AE87" s="675"/>
    </row>
    <row r="88" spans="1:31" x14ac:dyDescent="0.2">
      <c r="A88" s="707"/>
      <c r="B88" s="707"/>
      <c r="C88" s="700" t="s">
        <v>595</v>
      </c>
      <c r="D88" s="704"/>
      <c r="E88" s="704"/>
      <c r="F88" s="704"/>
      <c r="G88" s="704"/>
      <c r="H88" s="704"/>
      <c r="I88" s="704"/>
      <c r="J88" s="704"/>
      <c r="K88" s="704"/>
      <c r="L88" s="704"/>
      <c r="M88" s="704"/>
      <c r="N88" s="704"/>
      <c r="O88" s="704"/>
      <c r="P88" s="704"/>
      <c r="Q88" s="704"/>
      <c r="R88" s="704"/>
      <c r="S88" s="704"/>
      <c r="T88" s="704"/>
      <c r="U88" s="704"/>
      <c r="V88" s="704"/>
      <c r="W88" s="704"/>
      <c r="X88" s="704"/>
      <c r="Y88" s="704"/>
      <c r="Z88" s="705"/>
      <c r="AA88" s="675"/>
      <c r="AB88" s="675"/>
      <c r="AC88" s="675"/>
      <c r="AD88" s="675"/>
      <c r="AE88" s="675"/>
    </row>
    <row r="89" spans="1:31" x14ac:dyDescent="0.2">
      <c r="A89" s="707"/>
      <c r="B89" s="257"/>
      <c r="C89" s="707" t="s">
        <v>617</v>
      </c>
      <c r="D89" s="704"/>
      <c r="E89" s="703"/>
      <c r="F89" s="710"/>
      <c r="G89" s="710"/>
      <c r="H89" s="710"/>
      <c r="I89" s="710"/>
      <c r="J89" s="710"/>
      <c r="K89" s="710"/>
      <c r="L89" s="710"/>
      <c r="M89" s="710"/>
      <c r="N89" s="710"/>
      <c r="O89" s="710"/>
      <c r="P89" s="710"/>
      <c r="Q89" s="710"/>
      <c r="R89" s="710"/>
      <c r="S89" s="710"/>
      <c r="T89" s="710"/>
      <c r="U89" s="710"/>
      <c r="V89" s="710"/>
      <c r="W89" s="710"/>
      <c r="X89" s="710"/>
      <c r="Y89" s="710"/>
      <c r="Z89" s="710"/>
      <c r="AA89" s="675"/>
      <c r="AB89" s="675"/>
      <c r="AC89" s="675"/>
      <c r="AD89" s="675"/>
      <c r="AE89" s="675"/>
    </row>
    <row r="90" spans="1:31" x14ac:dyDescent="0.2">
      <c r="A90" s="707"/>
      <c r="B90" s="257"/>
      <c r="C90" s="707" t="s">
        <v>618</v>
      </c>
      <c r="D90" s="704"/>
      <c r="E90" s="703"/>
      <c r="F90" s="711"/>
      <c r="G90" s="711"/>
      <c r="H90" s="711"/>
      <c r="I90" s="711"/>
      <c r="J90" s="711"/>
      <c r="K90" s="711"/>
      <c r="L90" s="711"/>
      <c r="M90" s="711"/>
      <c r="N90" s="711"/>
      <c r="O90" s="711"/>
      <c r="P90" s="711"/>
      <c r="Q90" s="711"/>
      <c r="R90" s="711"/>
      <c r="S90" s="711"/>
      <c r="T90" s="711"/>
      <c r="U90" s="711"/>
      <c r="V90" s="711"/>
      <c r="W90" s="711"/>
      <c r="X90" s="711"/>
      <c r="Y90" s="711"/>
      <c r="Z90" s="711"/>
      <c r="AA90" s="675"/>
      <c r="AB90" s="675"/>
      <c r="AC90" s="675"/>
      <c r="AD90" s="675"/>
      <c r="AE90" s="675"/>
    </row>
    <row r="91" spans="1:31" x14ac:dyDescent="0.2">
      <c r="A91" s="707"/>
      <c r="B91" s="257"/>
      <c r="C91" s="707" t="s">
        <v>619</v>
      </c>
      <c r="D91" s="704"/>
      <c r="E91" s="703"/>
      <c r="F91" s="711"/>
      <c r="G91" s="710"/>
      <c r="H91" s="710"/>
      <c r="I91" s="710"/>
      <c r="J91" s="710"/>
      <c r="K91" s="710"/>
      <c r="L91" s="710"/>
      <c r="M91" s="710"/>
      <c r="N91" s="710"/>
      <c r="O91" s="710"/>
      <c r="P91" s="710"/>
      <c r="Q91" s="710"/>
      <c r="R91" s="710"/>
      <c r="S91" s="710"/>
      <c r="T91" s="710"/>
      <c r="U91" s="710"/>
      <c r="V91" s="710"/>
      <c r="W91" s="710"/>
      <c r="X91" s="710"/>
      <c r="Y91" s="710"/>
      <c r="Z91" s="710"/>
      <c r="AA91" s="675"/>
      <c r="AB91" s="675"/>
      <c r="AC91" s="675"/>
      <c r="AD91" s="675"/>
      <c r="AE91" s="675"/>
    </row>
    <row r="92" spans="1:31" x14ac:dyDescent="0.2">
      <c r="A92" s="707"/>
      <c r="B92" s="257"/>
      <c r="C92" s="707" t="s">
        <v>620</v>
      </c>
      <c r="D92" s="704"/>
      <c r="E92" s="703"/>
      <c r="F92" s="711"/>
      <c r="G92" s="710"/>
      <c r="H92" s="710"/>
      <c r="I92" s="710"/>
      <c r="J92" s="710"/>
      <c r="K92" s="710"/>
      <c r="L92" s="710"/>
      <c r="M92" s="710"/>
      <c r="N92" s="710"/>
      <c r="O92" s="710"/>
      <c r="P92" s="710"/>
      <c r="Q92" s="710"/>
      <c r="R92" s="710"/>
      <c r="S92" s="710"/>
      <c r="T92" s="710"/>
      <c r="U92" s="710"/>
      <c r="V92" s="710"/>
      <c r="W92" s="710"/>
      <c r="X92" s="710"/>
      <c r="Y92" s="710"/>
      <c r="Z92" s="710"/>
      <c r="AA92" s="675"/>
      <c r="AB92" s="675"/>
      <c r="AC92" s="675"/>
      <c r="AD92" s="675"/>
      <c r="AE92" s="675"/>
    </row>
    <row r="93" spans="1:31" x14ac:dyDescent="0.2">
      <c r="A93" s="707"/>
      <c r="B93" s="257"/>
      <c r="C93" s="707" t="s">
        <v>621</v>
      </c>
      <c r="D93" s="704"/>
      <c r="E93" s="703"/>
      <c r="F93" s="711"/>
      <c r="G93" s="710"/>
      <c r="H93" s="710"/>
      <c r="I93" s="710"/>
      <c r="J93" s="710"/>
      <c r="K93" s="710"/>
      <c r="L93" s="710"/>
      <c r="M93" s="710"/>
      <c r="N93" s="710"/>
      <c r="O93" s="710"/>
      <c r="P93" s="710"/>
      <c r="Q93" s="710"/>
      <c r="R93" s="710"/>
      <c r="S93" s="710"/>
      <c r="T93" s="710"/>
      <c r="U93" s="710"/>
      <c r="V93" s="710"/>
      <c r="W93" s="710"/>
      <c r="X93" s="710"/>
      <c r="Y93" s="710"/>
      <c r="Z93" s="710"/>
      <c r="AA93" s="675"/>
      <c r="AB93" s="675"/>
      <c r="AC93" s="675"/>
      <c r="AD93" s="675"/>
      <c r="AE93" s="675"/>
    </row>
    <row r="94" spans="1:31" x14ac:dyDescent="0.2">
      <c r="A94" s="707"/>
      <c r="B94" s="257"/>
      <c r="C94" s="707" t="s">
        <v>599</v>
      </c>
      <c r="D94" s="704"/>
      <c r="E94" s="703"/>
      <c r="F94" s="710"/>
      <c r="G94" s="710"/>
      <c r="H94" s="710"/>
      <c r="I94" s="710"/>
      <c r="J94" s="710"/>
      <c r="K94" s="710"/>
      <c r="L94" s="710"/>
      <c r="M94" s="710"/>
      <c r="N94" s="710"/>
      <c r="O94" s="710"/>
      <c r="P94" s="710"/>
      <c r="Q94" s="710"/>
      <c r="R94" s="710"/>
      <c r="S94" s="710"/>
      <c r="T94" s="710"/>
      <c r="U94" s="710"/>
      <c r="V94" s="710"/>
      <c r="W94" s="710"/>
      <c r="X94" s="710"/>
      <c r="Y94" s="710"/>
      <c r="Z94" s="710"/>
      <c r="AA94" s="675"/>
      <c r="AB94" s="675"/>
      <c r="AC94" s="675"/>
      <c r="AD94" s="675"/>
      <c r="AE94" s="675"/>
    </row>
    <row r="95" spans="1:31" x14ac:dyDescent="0.2">
      <c r="A95" s="707"/>
      <c r="B95" s="707"/>
      <c r="C95" s="708"/>
      <c r="D95" s="704"/>
      <c r="E95" s="704"/>
      <c r="F95" s="704"/>
      <c r="G95" s="704"/>
      <c r="H95" s="704"/>
      <c r="I95" s="704"/>
      <c r="J95" s="704"/>
      <c r="K95" s="704"/>
      <c r="L95" s="704"/>
      <c r="M95" s="704"/>
      <c r="N95" s="704"/>
      <c r="O95" s="704"/>
      <c r="P95" s="704"/>
      <c r="Q95" s="704"/>
      <c r="R95" s="704"/>
      <c r="S95" s="704"/>
      <c r="T95" s="704"/>
      <c r="U95" s="704"/>
      <c r="V95" s="704"/>
      <c r="W95" s="704"/>
      <c r="X95" s="704"/>
      <c r="Y95" s="704"/>
      <c r="Z95" s="705"/>
      <c r="AA95" s="675"/>
      <c r="AB95" s="675"/>
      <c r="AC95" s="675"/>
      <c r="AD95" s="675"/>
      <c r="AE95" s="675"/>
    </row>
    <row r="96" spans="1:31" x14ac:dyDescent="0.2">
      <c r="A96" s="707"/>
      <c r="B96" s="707"/>
      <c r="C96" s="700" t="s">
        <v>596</v>
      </c>
      <c r="D96" s="704"/>
      <c r="E96" s="704"/>
      <c r="F96" s="704"/>
      <c r="G96" s="704"/>
      <c r="H96" s="704"/>
      <c r="I96" s="704"/>
      <c r="J96" s="704"/>
      <c r="K96" s="704"/>
      <c r="L96" s="704"/>
      <c r="M96" s="704"/>
      <c r="N96" s="704"/>
      <c r="O96" s="704"/>
      <c r="P96" s="704"/>
      <c r="Q96" s="704"/>
      <c r="R96" s="704"/>
      <c r="S96" s="704"/>
      <c r="T96" s="704"/>
      <c r="U96" s="704"/>
      <c r="V96" s="704"/>
      <c r="W96" s="704"/>
      <c r="X96" s="704"/>
      <c r="Y96" s="704"/>
      <c r="Z96" s="705"/>
      <c r="AA96" s="675"/>
      <c r="AB96" s="675"/>
      <c r="AC96" s="675"/>
      <c r="AD96" s="675"/>
      <c r="AE96" s="675"/>
    </row>
    <row r="97" spans="1:31" x14ac:dyDescent="0.2">
      <c r="A97" s="707"/>
      <c r="B97" s="257"/>
      <c r="C97" s="707" t="s">
        <v>600</v>
      </c>
      <c r="D97" s="704"/>
      <c r="E97" s="704"/>
      <c r="F97" s="710"/>
      <c r="G97" s="710"/>
      <c r="H97" s="710"/>
      <c r="I97" s="710"/>
      <c r="J97" s="710"/>
      <c r="K97" s="710"/>
      <c r="L97" s="710"/>
      <c r="M97" s="710"/>
      <c r="N97" s="710"/>
      <c r="O97" s="710"/>
      <c r="P97" s="710"/>
      <c r="Q97" s="710"/>
      <c r="R97" s="710"/>
      <c r="S97" s="710"/>
      <c r="T97" s="710"/>
      <c r="U97" s="710"/>
      <c r="V97" s="710"/>
      <c r="W97" s="710"/>
      <c r="X97" s="710"/>
      <c r="Y97" s="710"/>
      <c r="Z97" s="710"/>
      <c r="AA97" s="675"/>
      <c r="AB97" s="675"/>
      <c r="AC97" s="675"/>
      <c r="AD97" s="675"/>
      <c r="AE97" s="675"/>
    </row>
    <row r="98" spans="1:31" x14ac:dyDescent="0.2">
      <c r="A98" s="707"/>
      <c r="B98" s="257"/>
      <c r="C98" s="707" t="s">
        <v>601</v>
      </c>
      <c r="D98" s="704"/>
      <c r="E98" s="704"/>
      <c r="F98" s="710"/>
      <c r="G98" s="710"/>
      <c r="H98" s="710"/>
      <c r="I98" s="710"/>
      <c r="J98" s="710"/>
      <c r="K98" s="710"/>
      <c r="L98" s="710"/>
      <c r="M98" s="710"/>
      <c r="N98" s="710"/>
      <c r="O98" s="710"/>
      <c r="P98" s="710"/>
      <c r="Q98" s="710"/>
      <c r="R98" s="710"/>
      <c r="S98" s="710"/>
      <c r="T98" s="710"/>
      <c r="U98" s="710"/>
      <c r="V98" s="710"/>
      <c r="W98" s="710"/>
      <c r="X98" s="710"/>
      <c r="Y98" s="710"/>
      <c r="Z98" s="710"/>
      <c r="AA98" s="675"/>
      <c r="AB98" s="675"/>
      <c r="AC98" s="675"/>
      <c r="AD98" s="675"/>
      <c r="AE98" s="675"/>
    </row>
    <row r="99" spans="1:31" x14ac:dyDescent="0.2">
      <c r="A99" s="707"/>
      <c r="B99" s="257"/>
      <c r="C99" s="707" t="s">
        <v>602</v>
      </c>
      <c r="D99" s="704"/>
      <c r="E99" s="704"/>
      <c r="F99" s="710"/>
      <c r="G99" s="710"/>
      <c r="H99" s="710"/>
      <c r="I99" s="710"/>
      <c r="J99" s="710"/>
      <c r="K99" s="710"/>
      <c r="L99" s="710"/>
      <c r="M99" s="710"/>
      <c r="N99" s="710"/>
      <c r="O99" s="710"/>
      <c r="P99" s="710"/>
      <c r="Q99" s="710"/>
      <c r="R99" s="710"/>
      <c r="S99" s="710"/>
      <c r="T99" s="710"/>
      <c r="U99" s="710"/>
      <c r="V99" s="710"/>
      <c r="W99" s="710"/>
      <c r="X99" s="710"/>
      <c r="Y99" s="710"/>
      <c r="Z99" s="710"/>
      <c r="AA99" s="675"/>
      <c r="AB99" s="675"/>
      <c r="AC99" s="675"/>
      <c r="AD99" s="675"/>
      <c r="AE99" s="675"/>
    </row>
    <row r="100" spans="1:31" x14ac:dyDescent="0.2">
      <c r="A100" s="707"/>
      <c r="B100" s="707"/>
      <c r="C100" s="708"/>
      <c r="D100" s="704"/>
      <c r="E100" s="704"/>
      <c r="F100" s="704"/>
      <c r="G100" s="704"/>
      <c r="H100" s="704"/>
      <c r="I100" s="704"/>
      <c r="J100" s="704"/>
      <c r="K100" s="704"/>
      <c r="L100" s="704"/>
      <c r="M100" s="704"/>
      <c r="N100" s="704"/>
      <c r="O100" s="704"/>
      <c r="P100" s="704"/>
      <c r="Q100" s="704"/>
      <c r="R100" s="704"/>
      <c r="S100" s="704"/>
      <c r="T100" s="704"/>
      <c r="U100" s="704"/>
      <c r="V100" s="704"/>
      <c r="W100" s="704"/>
      <c r="X100" s="704"/>
      <c r="Y100" s="704"/>
      <c r="Z100" s="705"/>
      <c r="AA100" s="675"/>
      <c r="AB100" s="675"/>
      <c r="AC100" s="675"/>
      <c r="AD100" s="675"/>
      <c r="AE100" s="675"/>
    </row>
    <row r="101" spans="1:31" x14ac:dyDescent="0.2">
      <c r="A101" s="707"/>
      <c r="B101" s="707"/>
      <c r="C101" s="700" t="s">
        <v>597</v>
      </c>
      <c r="D101" s="704"/>
      <c r="E101" s="704"/>
      <c r="F101" s="704"/>
      <c r="G101" s="704"/>
      <c r="H101" s="704"/>
      <c r="I101" s="704"/>
      <c r="J101" s="704"/>
      <c r="K101" s="704"/>
      <c r="L101" s="704"/>
      <c r="M101" s="704"/>
      <c r="N101" s="704"/>
      <c r="O101" s="704"/>
      <c r="P101" s="704"/>
      <c r="Q101" s="704"/>
      <c r="R101" s="704"/>
      <c r="S101" s="704"/>
      <c r="T101" s="704"/>
      <c r="U101" s="704"/>
      <c r="V101" s="704"/>
      <c r="W101" s="704"/>
      <c r="X101" s="704"/>
      <c r="Y101" s="704"/>
      <c r="Z101" s="705"/>
      <c r="AA101" s="675"/>
      <c r="AB101" s="675"/>
      <c r="AC101" s="675"/>
      <c r="AD101" s="675"/>
      <c r="AE101" s="675"/>
    </row>
    <row r="102" spans="1:31" x14ac:dyDescent="0.2">
      <c r="A102" s="707"/>
      <c r="B102" s="257"/>
      <c r="C102" s="707" t="s">
        <v>603</v>
      </c>
      <c r="D102" s="704"/>
      <c r="E102" s="704"/>
      <c r="F102" s="710"/>
      <c r="G102" s="710"/>
      <c r="H102" s="710"/>
      <c r="I102" s="710"/>
      <c r="J102" s="710"/>
      <c r="K102" s="710"/>
      <c r="L102" s="710"/>
      <c r="M102" s="710"/>
      <c r="N102" s="710"/>
      <c r="O102" s="710"/>
      <c r="P102" s="710"/>
      <c r="Q102" s="710"/>
      <c r="R102" s="710"/>
      <c r="S102" s="710"/>
      <c r="T102" s="710"/>
      <c r="U102" s="710"/>
      <c r="V102" s="710"/>
      <c r="W102" s="710"/>
      <c r="X102" s="710"/>
      <c r="Y102" s="710"/>
      <c r="Z102" s="710"/>
      <c r="AA102" s="675"/>
      <c r="AB102" s="675"/>
      <c r="AC102" s="675"/>
      <c r="AD102" s="675"/>
      <c r="AE102" s="675"/>
    </row>
    <row r="103" spans="1:31" x14ac:dyDescent="0.2">
      <c r="A103" s="707"/>
      <c r="B103" s="707"/>
      <c r="C103" s="708"/>
      <c r="D103" s="704"/>
      <c r="E103" s="704"/>
      <c r="F103" s="704"/>
      <c r="G103" s="704"/>
      <c r="H103" s="704"/>
      <c r="I103" s="704"/>
      <c r="J103" s="704"/>
      <c r="K103" s="704"/>
      <c r="L103" s="704"/>
      <c r="M103" s="704"/>
      <c r="N103" s="704"/>
      <c r="O103" s="704"/>
      <c r="P103" s="704"/>
      <c r="Q103" s="704"/>
      <c r="R103" s="704"/>
      <c r="S103" s="704"/>
      <c r="T103" s="704"/>
      <c r="U103" s="704"/>
      <c r="V103" s="704"/>
      <c r="W103" s="704"/>
      <c r="X103" s="704"/>
      <c r="Y103" s="704"/>
      <c r="Z103" s="705"/>
      <c r="AA103" s="675"/>
      <c r="AB103" s="675"/>
      <c r="AC103" s="675"/>
      <c r="AD103" s="675"/>
      <c r="AE103" s="675"/>
    </row>
    <row r="104" spans="1:31" x14ac:dyDescent="0.2">
      <c r="A104" s="709"/>
      <c r="B104" s="709"/>
      <c r="C104" s="700" t="s">
        <v>598</v>
      </c>
      <c r="D104" s="705"/>
      <c r="E104" s="705"/>
      <c r="F104" s="705"/>
      <c r="G104" s="705"/>
      <c r="H104" s="705"/>
      <c r="I104" s="705"/>
      <c r="J104" s="705"/>
      <c r="K104" s="705"/>
      <c r="L104" s="705"/>
      <c r="M104" s="705"/>
      <c r="N104" s="705"/>
      <c r="O104" s="705"/>
      <c r="P104" s="705"/>
      <c r="Q104" s="705"/>
      <c r="R104" s="705"/>
      <c r="S104" s="705"/>
      <c r="T104" s="705"/>
      <c r="U104" s="705"/>
      <c r="V104" s="705"/>
      <c r="W104" s="705"/>
      <c r="X104" s="705"/>
      <c r="Y104" s="705"/>
      <c r="Z104" s="705"/>
      <c r="AA104" s="675"/>
      <c r="AB104" s="675"/>
      <c r="AC104" s="675"/>
      <c r="AD104" s="675"/>
      <c r="AE104" s="675"/>
    </row>
    <row r="105" spans="1:31" x14ac:dyDescent="0.2">
      <c r="A105" s="707"/>
      <c r="B105" s="257"/>
      <c r="C105" s="707" t="s">
        <v>604</v>
      </c>
      <c r="D105" s="712"/>
      <c r="E105" s="712"/>
      <c r="F105" s="712"/>
      <c r="G105" s="712"/>
      <c r="H105" s="712"/>
      <c r="I105" s="712"/>
      <c r="J105" s="712"/>
      <c r="K105" s="712"/>
      <c r="L105" s="712"/>
      <c r="M105" s="712"/>
      <c r="N105" s="712"/>
      <c r="O105" s="712"/>
      <c r="P105" s="712"/>
      <c r="Q105" s="712"/>
      <c r="R105" s="712"/>
      <c r="S105" s="712"/>
      <c r="T105" s="712"/>
      <c r="U105" s="712"/>
      <c r="V105" s="712"/>
      <c r="W105" s="712"/>
      <c r="X105" s="712"/>
      <c r="Y105" s="712"/>
      <c r="Z105" s="712"/>
      <c r="AA105" s="675"/>
      <c r="AB105" s="675"/>
      <c r="AC105" s="675"/>
      <c r="AD105" s="675"/>
      <c r="AE105" s="675"/>
    </row>
    <row r="106" spans="1:31" x14ac:dyDescent="0.2">
      <c r="A106" s="707"/>
      <c r="B106" s="257"/>
      <c r="C106" s="707" t="s">
        <v>605</v>
      </c>
      <c r="D106" s="712"/>
      <c r="E106" s="712"/>
      <c r="F106" s="712"/>
      <c r="G106" s="712"/>
      <c r="H106" s="712"/>
      <c r="I106" s="712"/>
      <c r="J106" s="712"/>
      <c r="K106" s="712"/>
      <c r="L106" s="712"/>
      <c r="M106" s="712"/>
      <c r="N106" s="712"/>
      <c r="O106" s="712"/>
      <c r="P106" s="712"/>
      <c r="Q106" s="712"/>
      <c r="R106" s="712"/>
      <c r="S106" s="712"/>
      <c r="T106" s="712"/>
      <c r="U106" s="712"/>
      <c r="V106" s="712"/>
      <c r="W106" s="712"/>
      <c r="X106" s="712"/>
      <c r="Y106" s="712"/>
      <c r="Z106" s="712"/>
      <c r="AA106" s="675"/>
      <c r="AB106" s="675"/>
      <c r="AC106" s="675"/>
      <c r="AD106" s="675"/>
      <c r="AE106" s="675"/>
    </row>
    <row r="107" spans="1:31" x14ac:dyDescent="0.2">
      <c r="A107" s="44"/>
      <c r="B107" s="44"/>
      <c r="C107" s="257"/>
      <c r="D107" s="701"/>
      <c r="E107" s="701"/>
      <c r="F107" s="701"/>
      <c r="G107" s="701"/>
      <c r="H107" s="701"/>
      <c r="I107" s="701"/>
      <c r="J107" s="701"/>
      <c r="K107" s="701"/>
      <c r="L107" s="701"/>
      <c r="M107" s="701"/>
      <c r="N107" s="701"/>
      <c r="O107" s="701"/>
      <c r="P107" s="701"/>
      <c r="Q107" s="701"/>
      <c r="R107" s="701"/>
      <c r="S107" s="701"/>
      <c r="T107" s="701"/>
      <c r="U107" s="701"/>
      <c r="V107" s="701"/>
      <c r="W107" s="701"/>
      <c r="X107" s="701"/>
      <c r="Y107" s="701"/>
      <c r="Z107" s="702"/>
      <c r="AA107" s="675"/>
      <c r="AB107" s="675"/>
      <c r="AC107" s="675"/>
      <c r="AD107" s="675"/>
      <c r="AE107" s="675"/>
    </row>
    <row r="108" spans="1:31" x14ac:dyDescent="0.2">
      <c r="A108" s="675"/>
      <c r="B108" s="675"/>
      <c r="C108" s="675"/>
      <c r="D108" s="675"/>
      <c r="E108" s="675"/>
      <c r="F108" s="675"/>
      <c r="G108" s="675"/>
      <c r="H108" s="675"/>
      <c r="I108" s="675"/>
      <c r="J108" s="675"/>
      <c r="K108" s="675"/>
      <c r="L108" s="675"/>
      <c r="M108" s="675"/>
      <c r="N108" s="675"/>
      <c r="O108" s="675"/>
      <c r="P108" s="675"/>
      <c r="Q108" s="675"/>
      <c r="R108" s="675"/>
      <c r="S108" s="675"/>
      <c r="T108" s="675"/>
      <c r="U108" s="675"/>
      <c r="V108" s="675"/>
      <c r="W108" s="675"/>
      <c r="X108" s="675"/>
      <c r="Y108" s="675"/>
      <c r="Z108" s="675"/>
      <c r="AA108" s="675"/>
      <c r="AB108" s="675"/>
      <c r="AC108" s="675"/>
      <c r="AD108" s="675"/>
      <c r="AE108" s="675"/>
    </row>
    <row r="109" spans="1:31" x14ac:dyDescent="0.2">
      <c r="A109" s="675"/>
      <c r="B109" s="675"/>
      <c r="C109" s="675"/>
      <c r="D109" s="675"/>
      <c r="E109" s="675"/>
      <c r="F109" s="675"/>
      <c r="G109" s="675"/>
      <c r="H109" s="675"/>
      <c r="I109" s="675"/>
      <c r="J109" s="675"/>
      <c r="K109" s="675"/>
      <c r="L109" s="675"/>
      <c r="M109" s="675"/>
      <c r="N109" s="675"/>
      <c r="O109" s="675"/>
      <c r="P109" s="675"/>
      <c r="Q109" s="675"/>
      <c r="R109" s="675"/>
      <c r="S109" s="675"/>
      <c r="T109" s="675"/>
      <c r="U109" s="675"/>
      <c r="V109" s="675"/>
      <c r="W109" s="675"/>
      <c r="X109" s="675"/>
      <c r="Y109" s="675"/>
      <c r="Z109" s="675"/>
      <c r="AA109" s="675"/>
      <c r="AB109" s="675"/>
      <c r="AC109" s="675"/>
      <c r="AD109" s="675"/>
      <c r="AE109" s="675"/>
    </row>
    <row r="110" spans="1:31" x14ac:dyDescent="0.2">
      <c r="A110" s="675"/>
      <c r="B110" s="675"/>
      <c r="C110" s="675"/>
      <c r="D110" s="675"/>
      <c r="E110" s="675"/>
      <c r="F110" s="675"/>
      <c r="G110" s="675"/>
      <c r="H110" s="675"/>
      <c r="I110" s="675"/>
      <c r="J110" s="675"/>
      <c r="K110" s="675"/>
      <c r="L110" s="675"/>
      <c r="M110" s="675"/>
      <c r="N110" s="675"/>
      <c r="O110" s="675"/>
      <c r="P110" s="675"/>
      <c r="Q110" s="675"/>
      <c r="R110" s="675"/>
      <c r="S110" s="675"/>
      <c r="T110" s="675"/>
      <c r="U110" s="675"/>
      <c r="V110" s="675"/>
      <c r="W110" s="675"/>
      <c r="X110" s="675"/>
      <c r="Y110" s="675"/>
      <c r="Z110" s="675"/>
      <c r="AA110" s="675"/>
      <c r="AB110" s="675"/>
      <c r="AC110" s="675"/>
      <c r="AD110" s="675"/>
      <c r="AE110" s="675"/>
    </row>
    <row r="111" spans="1:31" x14ac:dyDescent="0.2">
      <c r="A111" s="675"/>
      <c r="B111" s="675"/>
      <c r="C111" s="675"/>
      <c r="D111" s="675"/>
      <c r="E111" s="675"/>
      <c r="F111" s="675"/>
      <c r="G111" s="675"/>
      <c r="H111" s="675"/>
      <c r="I111" s="675"/>
      <c r="J111" s="675"/>
      <c r="K111" s="675"/>
      <c r="L111" s="675"/>
      <c r="M111" s="675"/>
      <c r="N111" s="675"/>
      <c r="O111" s="675"/>
      <c r="P111" s="675"/>
      <c r="Q111" s="675"/>
      <c r="R111" s="675"/>
      <c r="S111" s="675"/>
      <c r="T111" s="675"/>
      <c r="U111" s="675"/>
      <c r="V111" s="675"/>
      <c r="W111" s="675"/>
      <c r="X111" s="675"/>
      <c r="Y111" s="675"/>
      <c r="Z111" s="675"/>
      <c r="AA111" s="675"/>
      <c r="AB111" s="675"/>
      <c r="AC111" s="675"/>
      <c r="AD111" s="675"/>
      <c r="AE111" s="675"/>
    </row>
    <row r="112" spans="1:31" x14ac:dyDescent="0.2">
      <c r="A112" s="675"/>
      <c r="B112" s="675"/>
      <c r="C112" s="675"/>
      <c r="D112" s="675"/>
      <c r="E112" s="675"/>
      <c r="F112" s="675"/>
      <c r="G112" s="675"/>
      <c r="H112" s="675"/>
      <c r="I112" s="675"/>
      <c r="J112" s="675"/>
      <c r="K112" s="675"/>
      <c r="L112" s="675"/>
      <c r="M112" s="675"/>
      <c r="N112" s="675"/>
      <c r="O112" s="675"/>
      <c r="P112" s="675"/>
      <c r="Q112" s="675"/>
      <c r="R112" s="675"/>
      <c r="S112" s="675"/>
      <c r="T112" s="675"/>
      <c r="U112" s="675"/>
      <c r="V112" s="675"/>
      <c r="W112" s="675"/>
      <c r="X112" s="675"/>
      <c r="Y112" s="675"/>
      <c r="Z112" s="675"/>
      <c r="AA112" s="675"/>
      <c r="AB112" s="675"/>
      <c r="AC112" s="675"/>
      <c r="AD112" s="675"/>
      <c r="AE112" s="675"/>
    </row>
  </sheetData>
  <sheetProtection sheet="1" objects="1" scenarios="1" selectLockedCells="1"/>
  <hyperlinks>
    <hyperlink ref="E19" location="'РС междуфазное'!E18" display="РС междуфазное"/>
    <hyperlink ref="E20" location="'РС при КЗ на землю'!E18" display="РС при КЗ на землю"/>
    <hyperlink ref="E21" location="'Ненаправленное РС'!E18" display="Ненаправленное РС"/>
    <hyperlink ref="E22" location="'БК dZ_dt'!E18" display="БК dZ_dt"/>
    <hyperlink ref="E23" location="'ИПФ, ИПФК'!E19" display="ИПФ, ИПФК"/>
    <hyperlink ref="E24" location="ООВП!E18" display="ООВП"/>
    <hyperlink ref="E25" location="'Теория РС при КЗ на землю'!A4" display="Теория РС при КЗ на землю"/>
    <hyperlink ref="E26" location="'Теория ИПФ, ИПФК'!A4" display="Теория ИПФ, ИПФК"/>
  </hyperlinks>
  <pageMargins left="0.75" right="0.75" top="1" bottom="1" header="0.5" footer="0.5"/>
  <pageSetup paperSize="9" fitToHeight="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4"/>
  <sheetViews>
    <sheetView workbookViewId="0">
      <pane ySplit="33" topLeftCell="A34" activePane="bottomLeft" state="frozen"/>
      <selection pane="bottomLeft" activeCell="C7" sqref="C7"/>
    </sheetView>
  </sheetViews>
  <sheetFormatPr defaultRowHeight="15" x14ac:dyDescent="0.25"/>
  <cols>
    <col min="1" max="1" width="17.140625" customWidth="1"/>
    <col min="2" max="2" width="34.5703125" customWidth="1"/>
    <col min="3" max="3" width="204.140625" customWidth="1"/>
  </cols>
  <sheetData>
    <row r="1" spans="1:3" x14ac:dyDescent="0.25">
      <c r="A1" s="43"/>
      <c r="B1" s="43"/>
      <c r="C1" s="43"/>
    </row>
    <row r="2" spans="1:3" x14ac:dyDescent="0.25">
      <c r="A2" s="43" t="s">
        <v>628</v>
      </c>
      <c r="B2" s="43" t="s">
        <v>629</v>
      </c>
      <c r="C2" s="43" t="s">
        <v>630</v>
      </c>
    </row>
    <row r="3" spans="1:3" x14ac:dyDescent="0.25">
      <c r="A3" s="43"/>
      <c r="B3" s="43"/>
      <c r="C3" s="43"/>
    </row>
    <row r="4" spans="1:3" x14ac:dyDescent="0.25">
      <c r="A4" s="43" t="s">
        <v>631</v>
      </c>
      <c r="B4" s="43" t="s">
        <v>632</v>
      </c>
      <c r="C4" s="43" t="s">
        <v>633</v>
      </c>
    </row>
    <row r="5" spans="1:3" x14ac:dyDescent="0.25">
      <c r="A5" s="43"/>
      <c r="B5" s="43" t="s">
        <v>634</v>
      </c>
      <c r="C5" s="43" t="s">
        <v>635</v>
      </c>
    </row>
    <row r="6" spans="1:3" x14ac:dyDescent="0.25">
      <c r="A6" s="43"/>
      <c r="B6" s="43"/>
      <c r="C6" s="43"/>
    </row>
    <row r="7" spans="1:3" x14ac:dyDescent="0.25">
      <c r="A7" s="43"/>
      <c r="B7" s="43"/>
      <c r="C7" s="43"/>
    </row>
    <row r="8" spans="1:3" x14ac:dyDescent="0.25">
      <c r="A8" s="43"/>
      <c r="B8" s="43"/>
      <c r="C8" s="43"/>
    </row>
    <row r="9" spans="1:3" x14ac:dyDescent="0.25">
      <c r="A9" s="43"/>
      <c r="B9" s="43"/>
      <c r="C9" s="43"/>
    </row>
    <row r="10" spans="1:3" x14ac:dyDescent="0.25">
      <c r="A10" s="43"/>
      <c r="B10" s="43"/>
      <c r="C10" s="717" t="s">
        <v>636</v>
      </c>
    </row>
    <row r="11" spans="1:3" x14ac:dyDescent="0.25">
      <c r="A11" s="43"/>
      <c r="B11" s="43"/>
      <c r="C11" s="718" t="s">
        <v>637</v>
      </c>
    </row>
    <row r="12" spans="1:3" x14ac:dyDescent="0.25">
      <c r="A12" s="43"/>
      <c r="B12" s="43"/>
      <c r="C12" s="718" t="s">
        <v>638</v>
      </c>
    </row>
    <row r="13" spans="1:3" x14ac:dyDescent="0.25">
      <c r="A13" s="43"/>
      <c r="B13" s="43"/>
      <c r="C13" s="718"/>
    </row>
    <row r="14" spans="1:3" x14ac:dyDescent="0.25">
      <c r="A14" s="43"/>
      <c r="B14" s="43"/>
      <c r="C14" s="718" t="s">
        <v>639</v>
      </c>
    </row>
    <row r="15" spans="1:3" ht="25.5" x14ac:dyDescent="0.25">
      <c r="A15" s="43"/>
      <c r="B15" s="43"/>
      <c r="C15" s="718" t="s">
        <v>640</v>
      </c>
    </row>
    <row r="16" spans="1:3" ht="25.5" x14ac:dyDescent="0.25">
      <c r="A16" s="43"/>
      <c r="B16" s="43"/>
      <c r="C16" s="718" t="s">
        <v>641</v>
      </c>
    </row>
    <row r="17" spans="1:3" x14ac:dyDescent="0.25">
      <c r="A17" s="43"/>
      <c r="B17" s="43"/>
      <c r="C17" s="718" t="s">
        <v>642</v>
      </c>
    </row>
    <row r="18" spans="1:3" x14ac:dyDescent="0.25">
      <c r="A18" s="43"/>
      <c r="B18" s="43"/>
      <c r="C18" s="718"/>
    </row>
    <row r="19" spans="1:3" x14ac:dyDescent="0.25">
      <c r="A19" s="43"/>
      <c r="B19" s="43"/>
      <c r="C19" s="718" t="s">
        <v>643</v>
      </c>
    </row>
    <row r="20" spans="1:3" x14ac:dyDescent="0.25">
      <c r="A20" s="43"/>
      <c r="B20" s="43"/>
      <c r="C20" s="718"/>
    </row>
    <row r="21" spans="1:3" x14ac:dyDescent="0.25">
      <c r="A21" s="43"/>
      <c r="B21" s="43"/>
      <c r="C21" s="718" t="s">
        <v>644</v>
      </c>
    </row>
    <row r="22" spans="1:3" x14ac:dyDescent="0.25">
      <c r="A22" s="43"/>
      <c r="B22" s="43"/>
      <c r="C22" s="718"/>
    </row>
    <row r="23" spans="1:3" x14ac:dyDescent="0.25">
      <c r="A23" s="43"/>
      <c r="B23" s="43"/>
      <c r="C23" s="718" t="s">
        <v>645</v>
      </c>
    </row>
    <row r="24" spans="1:3" x14ac:dyDescent="0.25">
      <c r="A24" s="43"/>
      <c r="B24" s="43"/>
      <c r="C24" s="718"/>
    </row>
    <row r="25" spans="1:3" x14ac:dyDescent="0.25">
      <c r="A25" s="43"/>
      <c r="B25" s="43"/>
      <c r="C25" s="718"/>
    </row>
    <row r="26" spans="1:3" x14ac:dyDescent="0.25">
      <c r="A26" s="43"/>
      <c r="B26" s="43"/>
      <c r="C26" s="719" t="s">
        <v>646</v>
      </c>
    </row>
    <row r="27" spans="1:3" x14ac:dyDescent="0.25">
      <c r="A27" s="43"/>
      <c r="B27" s="43"/>
      <c r="C27" s="718" t="s">
        <v>647</v>
      </c>
    </row>
    <row r="28" spans="1:3" x14ac:dyDescent="0.25">
      <c r="A28" s="43"/>
      <c r="B28" s="43"/>
      <c r="C28" s="718" t="s">
        <v>648</v>
      </c>
    </row>
    <row r="29" spans="1:3" x14ac:dyDescent="0.25">
      <c r="A29" s="43"/>
      <c r="B29" s="43"/>
      <c r="C29" s="718" t="s">
        <v>649</v>
      </c>
    </row>
    <row r="30" spans="1:3" x14ac:dyDescent="0.25">
      <c r="A30" s="43"/>
      <c r="B30" s="43"/>
      <c r="C30" s="718" t="s">
        <v>650</v>
      </c>
    </row>
    <row r="31" spans="1:3" x14ac:dyDescent="0.25">
      <c r="A31" s="43"/>
      <c r="B31" s="43"/>
      <c r="C31" s="718" t="s">
        <v>651</v>
      </c>
    </row>
    <row r="32" spans="1:3" x14ac:dyDescent="0.25">
      <c r="A32" s="43"/>
      <c r="B32" s="43"/>
      <c r="C32" s="718" t="s">
        <v>652</v>
      </c>
    </row>
    <row r="33" spans="1:3" x14ac:dyDescent="0.25">
      <c r="A33" s="43"/>
      <c r="B33" s="43"/>
      <c r="C33" s="718" t="s">
        <v>653</v>
      </c>
    </row>
    <row r="34" spans="1:3" x14ac:dyDescent="0.25">
      <c r="C34" s="720" t="s">
        <v>654</v>
      </c>
    </row>
  </sheetData>
  <sheetProtection sheet="1" objects="1" scenarios="1" selectLockedCells="1" selectUnlockedCells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1:AK126"/>
  <sheetViews>
    <sheetView zoomScale="80" zoomScaleNormal="80" workbookViewId="0">
      <pane ySplit="3" topLeftCell="A4" activePane="bottomLeft" state="frozen"/>
      <selection pane="bottomLeft" activeCell="E18" sqref="E18"/>
    </sheetView>
  </sheetViews>
  <sheetFormatPr defaultRowHeight="15" x14ac:dyDescent="0.25"/>
  <cols>
    <col min="1" max="1" width="4.5703125" customWidth="1"/>
    <col min="2" max="2" width="4.28515625" customWidth="1"/>
    <col min="3" max="3" width="45.28515625" customWidth="1"/>
    <col min="4" max="4" width="14.5703125" bestFit="1" customWidth="1"/>
    <col min="5" max="5" width="13.7109375" customWidth="1"/>
    <col min="6" max="8" width="4.5703125" customWidth="1"/>
    <col min="9" max="9" width="28.5703125" customWidth="1"/>
    <col min="10" max="10" width="10.7109375" customWidth="1"/>
    <col min="11" max="13" width="14.28515625" customWidth="1"/>
    <col min="14" max="14" width="12.5703125" customWidth="1"/>
    <col min="15" max="15" width="9.140625" customWidth="1"/>
    <col min="16" max="16" width="11" customWidth="1"/>
    <col min="17" max="17" width="11.140625" customWidth="1"/>
    <col min="18" max="18" width="11" customWidth="1"/>
    <col min="19" max="21" width="4.5703125" customWidth="1"/>
    <col min="22" max="22" width="10.42578125" customWidth="1"/>
    <col min="23" max="23" width="10.28515625" customWidth="1"/>
    <col min="25" max="25" width="11" customWidth="1"/>
    <col min="26" max="26" width="10" customWidth="1"/>
    <col min="28" max="28" width="9.5703125" customWidth="1"/>
    <col min="31" max="32" width="9.140625" customWidth="1"/>
    <col min="36" max="36" width="4.5703125" customWidth="1"/>
  </cols>
  <sheetData>
    <row r="1" spans="1:37" ht="15" customHeight="1" x14ac:dyDescent="0.25">
      <c r="A1" s="727" t="s">
        <v>427</v>
      </c>
      <c r="B1" s="727"/>
      <c r="C1" s="736" t="s">
        <v>157</v>
      </c>
      <c r="D1" s="736"/>
      <c r="E1" s="736"/>
      <c r="F1" s="736"/>
      <c r="G1" s="736"/>
      <c r="H1" s="736"/>
      <c r="I1" s="736"/>
      <c r="J1" s="736"/>
      <c r="K1" s="736"/>
      <c r="L1" s="11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</row>
    <row r="2" spans="1:37" ht="15" customHeight="1" x14ac:dyDescent="0.25">
      <c r="A2" s="727"/>
      <c r="B2" s="727"/>
      <c r="C2" s="736"/>
      <c r="D2" s="736"/>
      <c r="E2" s="736"/>
      <c r="F2" s="736"/>
      <c r="G2" s="736"/>
      <c r="H2" s="736"/>
      <c r="I2" s="736"/>
      <c r="J2" s="736"/>
      <c r="K2" s="736"/>
      <c r="L2" s="11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</row>
    <row r="3" spans="1:37" ht="15" customHeight="1" x14ac:dyDescent="0.25">
      <c r="A3" s="727"/>
      <c r="B3" s="727"/>
      <c r="C3" s="736"/>
      <c r="D3" s="736"/>
      <c r="E3" s="736"/>
      <c r="F3" s="736"/>
      <c r="G3" s="736"/>
      <c r="H3" s="736"/>
      <c r="I3" s="736"/>
      <c r="J3" s="736"/>
      <c r="K3" s="736"/>
      <c r="L3" s="11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</row>
    <row r="4" spans="1:37" x14ac:dyDescent="0.25">
      <c r="A4" s="633"/>
      <c r="B4" s="633"/>
      <c r="C4" s="633"/>
      <c r="D4" s="633"/>
      <c r="E4" s="633"/>
      <c r="F4" s="634"/>
      <c r="G4" s="633"/>
      <c r="H4" s="635"/>
      <c r="I4" s="633"/>
      <c r="J4" s="633"/>
      <c r="K4" s="633"/>
      <c r="L4" s="633"/>
      <c r="M4" s="633"/>
      <c r="N4" s="633"/>
      <c r="O4" s="633"/>
      <c r="P4" s="633"/>
      <c r="Q4" s="633"/>
      <c r="R4" s="633"/>
      <c r="S4" s="634"/>
      <c r="T4" s="635"/>
      <c r="U4" s="635"/>
      <c r="V4" s="633"/>
      <c r="W4" s="633"/>
      <c r="X4" s="633"/>
      <c r="Y4" s="633"/>
      <c r="Z4" s="633"/>
      <c r="AA4" s="633"/>
      <c r="AB4" s="633"/>
      <c r="AC4" s="633"/>
      <c r="AD4" s="633"/>
      <c r="AE4" s="633"/>
      <c r="AF4" s="633"/>
      <c r="AG4" s="633"/>
      <c r="AH4" s="633"/>
      <c r="AI4" s="633"/>
      <c r="AJ4" s="634"/>
      <c r="AK4" s="123"/>
    </row>
    <row r="5" spans="1:37" x14ac:dyDescent="0.25">
      <c r="A5" s="633"/>
      <c r="B5" s="636" t="s">
        <v>486</v>
      </c>
      <c r="C5" s="636"/>
      <c r="D5" s="633"/>
      <c r="E5" s="633"/>
      <c r="F5" s="634"/>
      <c r="G5" s="633"/>
      <c r="H5" s="635"/>
      <c r="I5" s="633"/>
      <c r="J5" s="633"/>
      <c r="K5" s="633"/>
      <c r="L5" s="633"/>
      <c r="M5" s="633"/>
      <c r="N5" s="633"/>
      <c r="O5" s="633"/>
      <c r="P5" s="633"/>
      <c r="Q5" s="633"/>
      <c r="R5" s="633"/>
      <c r="S5" s="634"/>
      <c r="T5" s="635"/>
      <c r="U5" s="635"/>
      <c r="V5" s="633"/>
      <c r="W5" s="633"/>
      <c r="X5" s="633"/>
      <c r="Y5" s="633"/>
      <c r="Z5" s="633"/>
      <c r="AA5" s="633"/>
      <c r="AB5" s="633"/>
      <c r="AC5" s="633"/>
      <c r="AD5" s="633"/>
      <c r="AE5" s="633"/>
      <c r="AF5" s="633"/>
      <c r="AG5" s="633"/>
      <c r="AH5" s="633"/>
      <c r="AI5" s="633"/>
      <c r="AJ5" s="634"/>
      <c r="AK5" s="123"/>
    </row>
    <row r="6" spans="1:37" x14ac:dyDescent="0.25">
      <c r="A6" s="633"/>
      <c r="B6" s="636" t="s">
        <v>481</v>
      </c>
      <c r="C6" s="636"/>
      <c r="D6" s="633"/>
      <c r="E6" s="633"/>
      <c r="F6" s="634"/>
      <c r="G6" s="633"/>
      <c r="H6" s="635"/>
      <c r="I6" s="633"/>
      <c r="J6" s="633"/>
      <c r="K6" s="633"/>
      <c r="L6" s="633"/>
      <c r="M6" s="633"/>
      <c r="N6" s="633"/>
      <c r="O6" s="633"/>
      <c r="P6" s="633"/>
      <c r="Q6" s="633"/>
      <c r="R6" s="633"/>
      <c r="S6" s="634"/>
      <c r="T6" s="635"/>
      <c r="U6" s="635"/>
      <c r="V6" s="633"/>
      <c r="W6" s="633"/>
      <c r="X6" s="633"/>
      <c r="Y6" s="633"/>
      <c r="Z6" s="633"/>
      <c r="AA6" s="633"/>
      <c r="AB6" s="633"/>
      <c r="AC6" s="633"/>
      <c r="AD6" s="633"/>
      <c r="AE6" s="633"/>
      <c r="AF6" s="633"/>
      <c r="AG6" s="633"/>
      <c r="AH6" s="633"/>
      <c r="AI6" s="633"/>
      <c r="AJ6" s="634"/>
      <c r="AK6" s="123"/>
    </row>
    <row r="7" spans="1:37" x14ac:dyDescent="0.25">
      <c r="A7" s="633"/>
      <c r="B7" s="636"/>
      <c r="C7" s="636" t="s">
        <v>485</v>
      </c>
      <c r="D7" s="633"/>
      <c r="E7" s="633"/>
      <c r="F7" s="634"/>
      <c r="G7" s="633"/>
      <c r="H7" s="635"/>
      <c r="I7" s="633"/>
      <c r="J7" s="633"/>
      <c r="K7" s="633"/>
      <c r="L7" s="633"/>
      <c r="M7" s="633"/>
      <c r="N7" s="633"/>
      <c r="O7" s="633"/>
      <c r="P7" s="633"/>
      <c r="Q7" s="633"/>
      <c r="R7" s="633"/>
      <c r="S7" s="634"/>
      <c r="T7" s="635"/>
      <c r="U7" s="635"/>
      <c r="V7" s="633"/>
      <c r="W7" s="633"/>
      <c r="X7" s="633"/>
      <c r="Y7" s="633"/>
      <c r="Z7" s="633"/>
      <c r="AA7" s="633"/>
      <c r="AB7" s="633"/>
      <c r="AC7" s="633"/>
      <c r="AD7" s="633"/>
      <c r="AE7" s="633"/>
      <c r="AF7" s="633"/>
      <c r="AG7" s="633"/>
      <c r="AH7" s="633"/>
      <c r="AI7" s="633"/>
      <c r="AJ7" s="634"/>
      <c r="AK7" s="123"/>
    </row>
    <row r="8" spans="1:37" x14ac:dyDescent="0.25">
      <c r="A8" s="633"/>
      <c r="B8" s="636"/>
      <c r="C8" s="636" t="s">
        <v>482</v>
      </c>
      <c r="D8" s="633"/>
      <c r="E8" s="633"/>
      <c r="F8" s="634"/>
      <c r="G8" s="633"/>
      <c r="H8" s="635"/>
      <c r="I8" s="633"/>
      <c r="J8" s="633"/>
      <c r="K8" s="633"/>
      <c r="L8" s="633"/>
      <c r="M8" s="633"/>
      <c r="N8" s="633"/>
      <c r="O8" s="633"/>
      <c r="P8" s="633"/>
      <c r="Q8" s="633"/>
      <c r="R8" s="633"/>
      <c r="S8" s="634"/>
      <c r="T8" s="635"/>
      <c r="U8" s="635"/>
      <c r="V8" s="633"/>
      <c r="W8" s="633"/>
      <c r="X8" s="633"/>
      <c r="Y8" s="633"/>
      <c r="Z8" s="633"/>
      <c r="AA8" s="633"/>
      <c r="AB8" s="633"/>
      <c r="AC8" s="633"/>
      <c r="AD8" s="633"/>
      <c r="AE8" s="633"/>
      <c r="AF8" s="633"/>
      <c r="AG8" s="633"/>
      <c r="AH8" s="633"/>
      <c r="AI8" s="633"/>
      <c r="AJ8" s="634"/>
      <c r="AK8" s="123"/>
    </row>
    <row r="9" spans="1:37" x14ac:dyDescent="0.25">
      <c r="A9" s="633"/>
      <c r="B9" s="636"/>
      <c r="C9" s="636" t="s">
        <v>483</v>
      </c>
      <c r="D9" s="633"/>
      <c r="E9" s="633"/>
      <c r="F9" s="634"/>
      <c r="G9" s="633"/>
      <c r="H9" s="635"/>
      <c r="I9" s="633"/>
      <c r="J9" s="633"/>
      <c r="K9" s="633"/>
      <c r="L9" s="633"/>
      <c r="M9" s="633"/>
      <c r="N9" s="633"/>
      <c r="O9" s="633"/>
      <c r="P9" s="633"/>
      <c r="Q9" s="633"/>
      <c r="R9" s="633"/>
      <c r="S9" s="634"/>
      <c r="T9" s="635"/>
      <c r="U9" s="635"/>
      <c r="V9" s="633"/>
      <c r="W9" s="633"/>
      <c r="X9" s="633"/>
      <c r="Y9" s="633"/>
      <c r="Z9" s="633"/>
      <c r="AA9" s="633"/>
      <c r="AB9" s="633"/>
      <c r="AC9" s="633"/>
      <c r="AD9" s="633"/>
      <c r="AE9" s="633"/>
      <c r="AF9" s="633"/>
      <c r="AG9" s="633"/>
      <c r="AH9" s="633"/>
      <c r="AI9" s="633"/>
      <c r="AJ9" s="634"/>
      <c r="AK9" s="123"/>
    </row>
    <row r="10" spans="1:37" x14ac:dyDescent="0.25">
      <c r="A10" s="633"/>
      <c r="B10" s="636"/>
      <c r="C10" s="636" t="s">
        <v>484</v>
      </c>
      <c r="D10" s="633"/>
      <c r="E10" s="633"/>
      <c r="F10" s="634"/>
      <c r="G10" s="633"/>
      <c r="H10" s="635"/>
      <c r="I10" s="633"/>
      <c r="J10" s="633"/>
      <c r="K10" s="633"/>
      <c r="L10" s="633"/>
      <c r="M10" s="633"/>
      <c r="N10" s="633"/>
      <c r="O10" s="633"/>
      <c r="P10" s="633"/>
      <c r="Q10" s="633"/>
      <c r="R10" s="633"/>
      <c r="S10" s="634"/>
      <c r="T10" s="635"/>
      <c r="U10" s="635"/>
      <c r="V10" s="633"/>
      <c r="W10" s="633"/>
      <c r="X10" s="633"/>
      <c r="Y10" s="633"/>
      <c r="Z10" s="633"/>
      <c r="AA10" s="633"/>
      <c r="AB10" s="633"/>
      <c r="AC10" s="633"/>
      <c r="AD10" s="633"/>
      <c r="AE10" s="633"/>
      <c r="AF10" s="633"/>
      <c r="AG10" s="633"/>
      <c r="AH10" s="633"/>
      <c r="AI10" s="633"/>
      <c r="AJ10" s="634"/>
      <c r="AK10" s="123"/>
    </row>
    <row r="11" spans="1:37" x14ac:dyDescent="0.25">
      <c r="A11" s="633"/>
      <c r="B11" s="636" t="s">
        <v>488</v>
      </c>
      <c r="C11" s="636"/>
      <c r="D11" s="633"/>
      <c r="E11" s="633"/>
      <c r="F11" s="634"/>
      <c r="G11" s="633"/>
      <c r="H11" s="635"/>
      <c r="I11" s="633"/>
      <c r="J11" s="633"/>
      <c r="K11" s="633"/>
      <c r="L11" s="633"/>
      <c r="M11" s="633"/>
      <c r="N11" s="633"/>
      <c r="O11" s="633"/>
      <c r="P11" s="633"/>
      <c r="Q11" s="633"/>
      <c r="R11" s="633"/>
      <c r="S11" s="634"/>
      <c r="T11" s="635"/>
      <c r="U11" s="635"/>
      <c r="V11" s="633"/>
      <c r="W11" s="633"/>
      <c r="X11" s="633"/>
      <c r="Y11" s="633"/>
      <c r="Z11" s="633"/>
      <c r="AA11" s="633"/>
      <c r="AB11" s="633"/>
      <c r="AC11" s="633"/>
      <c r="AD11" s="633"/>
      <c r="AE11" s="633"/>
      <c r="AF11" s="633"/>
      <c r="AG11" s="633"/>
      <c r="AH11" s="633"/>
      <c r="AI11" s="633"/>
      <c r="AJ11" s="634"/>
      <c r="AK11" s="123"/>
    </row>
    <row r="12" spans="1:37" x14ac:dyDescent="0.25">
      <c r="A12" s="633"/>
      <c r="B12" s="633"/>
      <c r="C12" s="633"/>
      <c r="D12" s="633"/>
      <c r="E12" s="633"/>
      <c r="F12" s="634"/>
      <c r="G12" s="633"/>
      <c r="H12" s="635"/>
      <c r="I12" s="633"/>
      <c r="J12" s="633"/>
      <c r="K12" s="633"/>
      <c r="L12" s="633"/>
      <c r="M12" s="633"/>
      <c r="N12" s="633"/>
      <c r="O12" s="633"/>
      <c r="P12" s="633"/>
      <c r="Q12" s="633"/>
      <c r="R12" s="633"/>
      <c r="S12" s="634"/>
      <c r="T12" s="635"/>
      <c r="U12" s="635"/>
      <c r="V12" s="633"/>
      <c r="W12" s="633"/>
      <c r="X12" s="633"/>
      <c r="Y12" s="633"/>
      <c r="Z12" s="633"/>
      <c r="AA12" s="633"/>
      <c r="AB12" s="633"/>
      <c r="AC12" s="633"/>
      <c r="AD12" s="633"/>
      <c r="AE12" s="633"/>
      <c r="AF12" s="633"/>
      <c r="AG12" s="633"/>
      <c r="AH12" s="633"/>
      <c r="AI12" s="633"/>
      <c r="AJ12" s="634"/>
      <c r="AK12" s="123"/>
    </row>
    <row r="13" spans="1:37" x14ac:dyDescent="0.25">
      <c r="A13" s="17"/>
      <c r="B13" s="43"/>
      <c r="C13" s="43"/>
      <c r="D13" s="43"/>
      <c r="E13" s="43"/>
      <c r="F13" s="122"/>
      <c r="G13" s="566"/>
      <c r="H13" s="44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122"/>
      <c r="T13" s="109"/>
      <c r="U13" s="44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122"/>
      <c r="AK13" s="123"/>
    </row>
    <row r="14" spans="1:37" ht="18" x14ac:dyDescent="0.25">
      <c r="A14" s="17"/>
      <c r="B14" s="7" t="s">
        <v>82</v>
      </c>
      <c r="C14" s="5"/>
      <c r="D14" s="5"/>
      <c r="E14" s="5"/>
      <c r="F14" s="122"/>
      <c r="G14" s="566"/>
      <c r="H14" s="44"/>
      <c r="I14" s="8" t="s">
        <v>487</v>
      </c>
      <c r="J14" s="4"/>
      <c r="K14" s="4"/>
      <c r="L14" s="4"/>
      <c r="M14" s="4"/>
      <c r="N14" s="4"/>
      <c r="O14" s="4"/>
      <c r="P14" s="4"/>
      <c r="Q14" s="4"/>
      <c r="R14" s="4"/>
      <c r="S14" s="122"/>
      <c r="T14" s="109"/>
      <c r="U14" s="44"/>
      <c r="V14" s="489" t="s">
        <v>160</v>
      </c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22"/>
      <c r="AK14" s="123"/>
    </row>
    <row r="15" spans="1:37" ht="15.75" thickBot="1" x14ac:dyDescent="0.3">
      <c r="A15" s="17"/>
      <c r="B15" s="43"/>
      <c r="C15" s="43"/>
      <c r="D15" s="43"/>
      <c r="E15" s="43"/>
      <c r="F15" s="122"/>
      <c r="G15" s="566"/>
      <c r="H15" s="44"/>
      <c r="I15" s="43"/>
      <c r="J15" s="43"/>
      <c r="K15" s="43"/>
      <c r="L15" s="43"/>
      <c r="M15" s="43"/>
      <c r="N15" s="53"/>
      <c r="O15" s="43"/>
      <c r="P15" s="43"/>
      <c r="Q15" s="43"/>
      <c r="R15" s="43"/>
      <c r="S15" s="122"/>
      <c r="T15" s="109"/>
      <c r="U15" s="44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122"/>
      <c r="AK15" s="123"/>
    </row>
    <row r="16" spans="1:37" ht="16.5" thickBot="1" x14ac:dyDescent="0.3">
      <c r="A16" s="17"/>
      <c r="B16" s="45" t="s">
        <v>62</v>
      </c>
      <c r="C16" s="45" t="s">
        <v>63</v>
      </c>
      <c r="D16" s="45" t="s">
        <v>64</v>
      </c>
      <c r="E16" s="45" t="s">
        <v>65</v>
      </c>
      <c r="F16" s="122"/>
      <c r="G16" s="566"/>
      <c r="H16" s="44"/>
      <c r="I16" s="127" t="s">
        <v>162</v>
      </c>
      <c r="J16" s="17"/>
      <c r="K16" s="17"/>
      <c r="L16" s="17"/>
      <c r="M16" s="17"/>
      <c r="N16" s="17"/>
      <c r="O16" s="17"/>
      <c r="P16" s="17"/>
      <c r="Q16" s="17"/>
      <c r="R16" s="17"/>
      <c r="S16" s="122"/>
      <c r="T16" s="109"/>
      <c r="U16" s="44"/>
      <c r="V16" s="127" t="s">
        <v>449</v>
      </c>
      <c r="W16" s="43"/>
      <c r="X16" s="17"/>
      <c r="Y16" s="17"/>
      <c r="Z16" s="83"/>
      <c r="AA16" s="43"/>
      <c r="AB16" s="43"/>
      <c r="AC16" s="43"/>
      <c r="AD16" s="43"/>
      <c r="AE16" s="17"/>
      <c r="AF16" s="17"/>
      <c r="AG16" s="17"/>
      <c r="AH16" s="43"/>
      <c r="AI16" s="43"/>
      <c r="AJ16" s="122"/>
      <c r="AK16" s="123"/>
    </row>
    <row r="17" spans="1:37" x14ac:dyDescent="0.25">
      <c r="A17" s="17"/>
      <c r="B17" s="43"/>
      <c r="C17" s="43"/>
      <c r="D17" s="43"/>
      <c r="E17" s="43"/>
      <c r="F17" s="122"/>
      <c r="G17" s="566"/>
      <c r="H17" s="44"/>
      <c r="I17" s="6" t="s">
        <v>226</v>
      </c>
      <c r="J17" s="17"/>
      <c r="K17" s="17"/>
      <c r="L17" s="17"/>
      <c r="M17" s="17"/>
      <c r="N17" s="17"/>
      <c r="O17" s="17"/>
      <c r="P17" s="17"/>
      <c r="Q17" s="17"/>
      <c r="R17" s="17"/>
      <c r="S17" s="122"/>
      <c r="T17" s="109"/>
      <c r="U17" s="44"/>
      <c r="V17" s="6" t="s">
        <v>491</v>
      </c>
      <c r="W17" s="43"/>
      <c r="X17" s="17"/>
      <c r="Y17" s="17"/>
      <c r="Z17" s="83"/>
      <c r="AA17" s="43"/>
      <c r="AB17" s="43"/>
      <c r="AC17" s="43"/>
      <c r="AD17" s="43"/>
      <c r="AE17" s="17"/>
      <c r="AF17" s="17"/>
      <c r="AG17" s="17"/>
      <c r="AH17" s="43"/>
      <c r="AI17" s="43"/>
      <c r="AJ17" s="122"/>
      <c r="AK17" s="123"/>
    </row>
    <row r="18" spans="1:37" ht="15.75" thickBot="1" x14ac:dyDescent="0.3">
      <c r="A18" s="17"/>
      <c r="B18" s="46">
        <v>1</v>
      </c>
      <c r="C18" s="47" t="s">
        <v>83</v>
      </c>
      <c r="D18" s="47" t="s">
        <v>86</v>
      </c>
      <c r="E18" s="1">
        <v>4</v>
      </c>
      <c r="F18" s="151" t="str">
        <f>IF(ISNUMBER(E18),"","Err")</f>
        <v/>
      </c>
      <c r="G18" s="566"/>
      <c r="H18" s="44"/>
      <c r="I18" s="44" t="s">
        <v>224</v>
      </c>
      <c r="J18" s="17"/>
      <c r="K18" s="17"/>
      <c r="L18" s="17"/>
      <c r="M18" s="17"/>
      <c r="N18" s="17"/>
      <c r="O18" s="17"/>
      <c r="P18" s="17"/>
      <c r="Q18" s="17"/>
      <c r="R18" s="17"/>
      <c r="S18" s="122"/>
      <c r="T18" s="109"/>
      <c r="U18" s="44"/>
      <c r="V18" s="6" t="s">
        <v>492</v>
      </c>
      <c r="W18" s="43"/>
      <c r="X18" s="17"/>
      <c r="Y18" s="17"/>
      <c r="Z18" s="83"/>
      <c r="AA18" s="43"/>
      <c r="AB18" s="43"/>
      <c r="AC18" s="43"/>
      <c r="AD18" s="43"/>
      <c r="AE18" s="17"/>
      <c r="AF18" s="17"/>
      <c r="AG18" s="17"/>
      <c r="AH18" s="43"/>
      <c r="AI18" s="43"/>
      <c r="AJ18" s="122"/>
      <c r="AK18" s="123"/>
    </row>
    <row r="19" spans="1:37" ht="15.75" thickBot="1" x14ac:dyDescent="0.3">
      <c r="A19" s="17"/>
      <c r="B19" s="46">
        <v>2</v>
      </c>
      <c r="C19" s="47" t="s">
        <v>84</v>
      </c>
      <c r="D19" s="47" t="s">
        <v>87</v>
      </c>
      <c r="E19" s="1">
        <v>2</v>
      </c>
      <c r="F19" s="151" t="str">
        <f>IF(ISNUMBER(E19),"","Err")</f>
        <v/>
      </c>
      <c r="G19" s="566"/>
      <c r="H19" s="44"/>
      <c r="I19" s="640" t="s">
        <v>496</v>
      </c>
      <c r="J19" s="17"/>
      <c r="K19" s="17"/>
      <c r="L19" s="17"/>
      <c r="M19" s="17"/>
      <c r="N19" s="17"/>
      <c r="O19" s="17"/>
      <c r="P19" s="17"/>
      <c r="Q19" s="17"/>
      <c r="R19" s="17"/>
      <c r="S19" s="122"/>
      <c r="T19" s="109"/>
      <c r="U19" s="44"/>
      <c r="V19" s="6" t="s">
        <v>490</v>
      </c>
      <c r="W19" s="43"/>
      <c r="X19" s="17"/>
      <c r="Y19" s="17"/>
      <c r="Z19" s="83"/>
      <c r="AA19" s="43"/>
      <c r="AB19" s="43"/>
      <c r="AC19" s="43"/>
      <c r="AD19" s="43"/>
      <c r="AE19" s="17"/>
      <c r="AF19" s="17"/>
      <c r="AG19" s="17"/>
      <c r="AH19" s="43"/>
      <c r="AI19" s="43"/>
      <c r="AJ19" s="122"/>
      <c r="AK19" s="123"/>
    </row>
    <row r="20" spans="1:37" ht="15.75" thickBot="1" x14ac:dyDescent="0.3">
      <c r="A20" s="17"/>
      <c r="B20" s="46"/>
      <c r="C20" s="47"/>
      <c r="D20" s="47"/>
      <c r="E20" s="120"/>
      <c r="F20" s="122"/>
      <c r="G20" s="566"/>
      <c r="H20" s="44"/>
      <c r="I20" s="44" t="s">
        <v>166</v>
      </c>
      <c r="J20" s="17"/>
      <c r="K20" s="17"/>
      <c r="L20" s="17"/>
      <c r="M20" s="17"/>
      <c r="N20" s="17"/>
      <c r="O20" s="17"/>
      <c r="P20" s="17"/>
      <c r="Q20" s="17"/>
      <c r="R20" s="17"/>
      <c r="S20" s="122"/>
      <c r="T20" s="109"/>
      <c r="U20" s="44"/>
      <c r="V20" s="6" t="s">
        <v>489</v>
      </c>
      <c r="W20" s="43"/>
      <c r="X20" s="17"/>
      <c r="Y20" s="17"/>
      <c r="Z20" s="83"/>
      <c r="AA20" s="43"/>
      <c r="AB20" s="43"/>
      <c r="AC20" s="43"/>
      <c r="AD20" s="43"/>
      <c r="AE20" s="17"/>
      <c r="AF20" s="17"/>
      <c r="AG20" s="17"/>
      <c r="AH20" s="43"/>
      <c r="AI20" s="43"/>
      <c r="AJ20" s="122"/>
      <c r="AK20" s="123"/>
    </row>
    <row r="21" spans="1:37" ht="15.75" customHeight="1" thickBot="1" x14ac:dyDescent="0.3">
      <c r="A21" s="17"/>
      <c r="B21" s="46">
        <v>3</v>
      </c>
      <c r="C21" s="43" t="s">
        <v>85</v>
      </c>
      <c r="D21" s="43" t="s">
        <v>22</v>
      </c>
      <c r="E21" s="3">
        <v>70</v>
      </c>
      <c r="F21" s="151" t="str">
        <f>IF(ISNUMBER(E21),"","Err")</f>
        <v/>
      </c>
      <c r="G21" s="566"/>
      <c r="H21" s="44"/>
      <c r="I21" s="44" t="s">
        <v>497</v>
      </c>
      <c r="J21" s="17"/>
      <c r="K21" s="17"/>
      <c r="L21" s="17"/>
      <c r="M21" s="17"/>
      <c r="N21" s="17"/>
      <c r="O21" s="17"/>
      <c r="P21" s="17"/>
      <c r="Q21" s="17"/>
      <c r="R21" s="17"/>
      <c r="S21" s="122"/>
      <c r="T21" s="109"/>
      <c r="U21" s="44"/>
      <c r="V21" s="17"/>
      <c r="W21" s="43"/>
      <c r="X21" s="43"/>
      <c r="Y21" s="43"/>
      <c r="Z21" s="43"/>
      <c r="AA21" s="43"/>
      <c r="AB21" s="43"/>
      <c r="AC21" s="43"/>
      <c r="AD21" s="43"/>
      <c r="AE21" s="17"/>
      <c r="AF21" s="17"/>
      <c r="AG21" s="17"/>
      <c r="AH21" s="43"/>
      <c r="AI21" s="43"/>
      <c r="AJ21" s="122"/>
      <c r="AK21" s="123"/>
    </row>
    <row r="22" spans="1:37" ht="15.75" customHeight="1" thickBot="1" x14ac:dyDescent="0.3">
      <c r="A22" s="17"/>
      <c r="B22" s="46">
        <v>4</v>
      </c>
      <c r="C22" s="43" t="s">
        <v>90</v>
      </c>
      <c r="D22" s="43" t="s">
        <v>23</v>
      </c>
      <c r="E22" s="3">
        <v>-20</v>
      </c>
      <c r="F22" s="151" t="str">
        <f t="shared" ref="F22:F26" si="0">IF(ISNUMBER(E22),"","Err")</f>
        <v/>
      </c>
      <c r="G22" s="566"/>
      <c r="H22" s="44"/>
      <c r="I22" s="44" t="s">
        <v>225</v>
      </c>
      <c r="J22" s="17"/>
      <c r="K22" s="17"/>
      <c r="L22" s="17"/>
      <c r="M22" s="17"/>
      <c r="N22" s="17"/>
      <c r="O22" s="17"/>
      <c r="P22" s="17"/>
      <c r="Q22" s="17"/>
      <c r="R22" s="17"/>
      <c r="S22" s="122"/>
      <c r="T22" s="109"/>
      <c r="U22" s="44"/>
      <c r="V22" s="53" t="str">
        <f>IF(E45=1,"Zмф, Ом","Uмф, B")</f>
        <v>Zмф, Ом</v>
      </c>
      <c r="W22" s="3">
        <v>3</v>
      </c>
      <c r="X22" s="151" t="str">
        <f>IF(ISNUMBER(W22),"","Err")</f>
        <v/>
      </c>
      <c r="Y22" s="81" t="s">
        <v>210</v>
      </c>
      <c r="Z22" s="82" t="s">
        <v>48</v>
      </c>
      <c r="AA22" s="53" t="s">
        <v>214</v>
      </c>
      <c r="AB22" s="81" t="s">
        <v>175</v>
      </c>
      <c r="AC22" s="82" t="s">
        <v>48</v>
      </c>
      <c r="AD22" s="17"/>
      <c r="AE22" s="17"/>
      <c r="AF22" s="191"/>
      <c r="AG22" s="65"/>
      <c r="AH22" s="43"/>
      <c r="AI22" s="43"/>
      <c r="AJ22" s="122"/>
      <c r="AK22" s="123"/>
    </row>
    <row r="23" spans="1:37" ht="15.75" thickBot="1" x14ac:dyDescent="0.3">
      <c r="A23" s="17"/>
      <c r="B23" s="46">
        <v>5</v>
      </c>
      <c r="C23" s="43" t="s">
        <v>89</v>
      </c>
      <c r="D23" s="43" t="s">
        <v>24</v>
      </c>
      <c r="E23" s="3">
        <v>115</v>
      </c>
      <c r="F23" s="151" t="str">
        <f t="shared" si="0"/>
        <v/>
      </c>
      <c r="G23" s="566"/>
      <c r="H23" s="44"/>
      <c r="I23" s="640" t="s">
        <v>69</v>
      </c>
      <c r="J23" s="17"/>
      <c r="K23" s="17"/>
      <c r="L23" s="17"/>
      <c r="M23" s="17"/>
      <c r="N23" s="17"/>
      <c r="O23" s="17"/>
      <c r="P23" s="17"/>
      <c r="Q23" s="17"/>
      <c r="R23" s="17"/>
      <c r="S23" s="122"/>
      <c r="T23" s="109"/>
      <c r="U23" s="44"/>
      <c r="V23" s="53" t="s">
        <v>48</v>
      </c>
      <c r="W23" s="3">
        <v>60</v>
      </c>
      <c r="X23" s="151" t="str">
        <f>IF(ISNUMBER(W23),"","Err")</f>
        <v/>
      </c>
      <c r="Y23" s="84">
        <f>W22/IF(E45=1,1,2*E41)</f>
        <v>3</v>
      </c>
      <c r="Z23" s="85">
        <f>W23</f>
        <v>60</v>
      </c>
      <c r="AA23" s="53" t="s">
        <v>214</v>
      </c>
      <c r="AB23" s="84">
        <f>IF(E45=1,W22*2*E41,W22)</f>
        <v>30</v>
      </c>
      <c r="AC23" s="86">
        <f>IF(E45=1,W23,W23)</f>
        <v>60</v>
      </c>
      <c r="AD23" s="17"/>
      <c r="AE23" s="17"/>
      <c r="AF23" s="191"/>
      <c r="AG23" s="192"/>
      <c r="AH23" s="43"/>
      <c r="AI23" s="43"/>
      <c r="AJ23" s="122"/>
      <c r="AK23" s="123"/>
    </row>
    <row r="24" spans="1:37" ht="15.75" thickBot="1" x14ac:dyDescent="0.3">
      <c r="A24" s="17"/>
      <c r="B24" s="46">
        <v>6</v>
      </c>
      <c r="C24" s="17" t="s">
        <v>88</v>
      </c>
      <c r="D24" s="43" t="s">
        <v>95</v>
      </c>
      <c r="E24" s="3">
        <v>-15</v>
      </c>
      <c r="F24" s="151" t="str">
        <f>IF(ISNUMBER(E24),IF(E24&lt;=0,"","Err"),"Err")</f>
        <v/>
      </c>
      <c r="G24" s="566"/>
      <c r="H24" s="44"/>
      <c r="I24" s="44" t="s">
        <v>167</v>
      </c>
      <c r="J24" s="17"/>
      <c r="K24" s="17"/>
      <c r="L24" s="17"/>
      <c r="M24" s="17"/>
      <c r="N24" s="17"/>
      <c r="O24" s="17"/>
      <c r="P24" s="17"/>
      <c r="Q24" s="17"/>
      <c r="R24" s="17"/>
      <c r="S24" s="122"/>
      <c r="T24" s="109"/>
      <c r="U24" s="44"/>
      <c r="V24" s="43"/>
      <c r="W24" s="353"/>
      <c r="X24" s="43"/>
      <c r="Y24" s="43"/>
      <c r="Z24" s="43"/>
      <c r="AA24" s="53" t="s">
        <v>214</v>
      </c>
      <c r="AB24" s="43"/>
      <c r="AC24" s="43"/>
      <c r="AD24" s="43"/>
      <c r="AE24" s="17"/>
      <c r="AF24" s="191"/>
      <c r="AG24" s="193"/>
      <c r="AH24" s="43"/>
      <c r="AI24" s="43"/>
      <c r="AJ24" s="122"/>
      <c r="AK24" s="123"/>
    </row>
    <row r="25" spans="1:37" ht="15.75" x14ac:dyDescent="0.25">
      <c r="A25" s="17"/>
      <c r="B25" s="17"/>
      <c r="C25" s="17"/>
      <c r="D25" s="17"/>
      <c r="E25" s="17"/>
      <c r="F25" s="122"/>
      <c r="G25" s="566"/>
      <c r="H25" s="44"/>
      <c r="I25" s="640"/>
      <c r="J25" s="17"/>
      <c r="K25" s="17"/>
      <c r="L25" s="17"/>
      <c r="M25" s="17"/>
      <c r="N25" s="17"/>
      <c r="O25" s="17"/>
      <c r="P25" s="17"/>
      <c r="Q25" s="17"/>
      <c r="R25" s="17"/>
      <c r="S25" s="122"/>
      <c r="T25" s="109"/>
      <c r="U25" s="44"/>
      <c r="V25" s="631"/>
      <c r="W25" s="631"/>
      <c r="X25" s="43"/>
      <c r="Y25" s="81" t="s">
        <v>211</v>
      </c>
      <c r="Z25" s="82" t="s">
        <v>212</v>
      </c>
      <c r="AA25" s="53" t="s">
        <v>214</v>
      </c>
      <c r="AB25" s="81" t="s">
        <v>215</v>
      </c>
      <c r="AC25" s="82" t="s">
        <v>48</v>
      </c>
      <c r="AD25" s="43"/>
      <c r="AE25" s="43"/>
      <c r="AF25" s="191"/>
      <c r="AG25" s="194"/>
      <c r="AH25" s="43"/>
      <c r="AI25" s="43"/>
      <c r="AJ25" s="122"/>
      <c r="AK25" s="123"/>
    </row>
    <row r="26" spans="1:37" ht="16.5" thickBot="1" x14ac:dyDescent="0.3">
      <c r="A26" s="17"/>
      <c r="B26" s="46">
        <v>7</v>
      </c>
      <c r="C26" s="47" t="s">
        <v>91</v>
      </c>
      <c r="D26" s="47" t="s">
        <v>94</v>
      </c>
      <c r="E26" s="1">
        <v>1</v>
      </c>
      <c r="F26" s="151" t="str">
        <f t="shared" si="0"/>
        <v/>
      </c>
      <c r="G26" s="566"/>
      <c r="H26" s="687" t="s">
        <v>320</v>
      </c>
      <c r="I26" s="642" t="s">
        <v>583</v>
      </c>
      <c r="J26" s="17"/>
      <c r="K26" s="17"/>
      <c r="L26" s="17"/>
      <c r="M26" s="17"/>
      <c r="N26" s="17"/>
      <c r="O26" s="17"/>
      <c r="P26" s="17"/>
      <c r="Q26" s="17"/>
      <c r="R26" s="17"/>
      <c r="S26" s="122"/>
      <c r="T26" s="109"/>
      <c r="U26" s="44"/>
      <c r="V26" s="631"/>
      <c r="W26" s="631"/>
      <c r="X26" s="43"/>
      <c r="Y26" s="84">
        <f>Y23*COS(RADIANS(Z23))</f>
        <v>1.5000000000000004</v>
      </c>
      <c r="Z26" s="86">
        <f>Y23*SIN(RADIANS(Z23))</f>
        <v>2.598076211353316</v>
      </c>
      <c r="AA26" s="53" t="s">
        <v>214</v>
      </c>
      <c r="AB26" s="84">
        <f>E41</f>
        <v>5</v>
      </c>
      <c r="AC26" s="86">
        <v>0</v>
      </c>
      <c r="AD26" s="43"/>
      <c r="AE26" s="43"/>
      <c r="AF26" s="83"/>
      <c r="AG26" s="195"/>
      <c r="AH26" s="43"/>
      <c r="AI26" s="43"/>
      <c r="AJ26" s="122"/>
      <c r="AK26" s="123"/>
    </row>
    <row r="27" spans="1:37" ht="16.5" thickBot="1" x14ac:dyDescent="0.3">
      <c r="A27" s="17"/>
      <c r="B27" s="46">
        <v>8</v>
      </c>
      <c r="C27" s="47" t="s">
        <v>92</v>
      </c>
      <c r="D27" s="43" t="s">
        <v>93</v>
      </c>
      <c r="E27" s="3">
        <v>15</v>
      </c>
      <c r="F27" s="151" t="str">
        <f>IF(ISNUMBER(E27),IF(E27&gt;=1,"","Err"),"Err")</f>
        <v/>
      </c>
      <c r="G27" s="566"/>
      <c r="H27" s="326"/>
      <c r="I27" s="642" t="s">
        <v>581</v>
      </c>
      <c r="J27" s="17"/>
      <c r="K27" s="17"/>
      <c r="L27" s="17"/>
      <c r="M27" s="17"/>
      <c r="N27" s="17"/>
      <c r="O27" s="17"/>
      <c r="P27" s="17"/>
      <c r="Q27" s="17"/>
      <c r="R27" s="17"/>
      <c r="S27" s="122"/>
      <c r="T27" s="109"/>
      <c r="U27" s="44"/>
      <c r="V27" s="631"/>
      <c r="W27" s="631"/>
      <c r="X27" s="43"/>
      <c r="Y27" s="637"/>
      <c r="Z27" s="637"/>
      <c r="AA27" s="53"/>
      <c r="AB27" s="637"/>
      <c r="AC27" s="637"/>
      <c r="AD27" s="43"/>
      <c r="AE27" s="43"/>
      <c r="AF27" s="83"/>
      <c r="AG27" s="195"/>
      <c r="AH27" s="43"/>
      <c r="AI27" s="43"/>
      <c r="AJ27" s="122"/>
      <c r="AK27" s="123"/>
    </row>
    <row r="28" spans="1:37" ht="16.5" thickBot="1" x14ac:dyDescent="0.3">
      <c r="A28" s="17"/>
      <c r="B28" s="17"/>
      <c r="C28" s="17"/>
      <c r="D28" s="17"/>
      <c r="E28" s="10" t="s">
        <v>589</v>
      </c>
      <c r="F28" s="122"/>
      <c r="G28" s="566"/>
      <c r="H28" s="44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22"/>
      <c r="T28" s="109"/>
      <c r="U28" s="44"/>
      <c r="V28" s="742" t="s">
        <v>493</v>
      </c>
      <c r="W28" s="742"/>
      <c r="X28" s="638" t="str">
        <f>IF(AF37,"область срабатывания","")</f>
        <v>область срабатывания</v>
      </c>
      <c r="Y28" s="637"/>
      <c r="Z28" s="637"/>
      <c r="AA28" s="53"/>
      <c r="AB28" s="637"/>
      <c r="AC28" s="637"/>
      <c r="AD28" s="43"/>
      <c r="AE28" s="43"/>
      <c r="AF28" s="83"/>
      <c r="AG28" s="195"/>
      <c r="AH28" s="43"/>
      <c r="AI28" s="43"/>
      <c r="AJ28" s="122"/>
      <c r="AK28" s="123"/>
    </row>
    <row r="29" spans="1:37" ht="16.5" thickBot="1" x14ac:dyDescent="0.3">
      <c r="A29" s="17"/>
      <c r="B29" s="46">
        <v>9</v>
      </c>
      <c r="C29" s="47" t="s">
        <v>96</v>
      </c>
      <c r="D29" s="47" t="s">
        <v>56</v>
      </c>
      <c r="E29" s="9">
        <v>1</v>
      </c>
      <c r="F29" s="151" t="str">
        <f>IF(OR(E29=1,E29=2),"","Err")</f>
        <v/>
      </c>
      <c r="G29" s="566"/>
      <c r="H29" s="44"/>
      <c r="I29" s="55" t="s">
        <v>30</v>
      </c>
      <c r="J29" s="55"/>
      <c r="K29" s="56" t="s">
        <v>73</v>
      </c>
      <c r="L29" s="57"/>
      <c r="M29" s="55" t="s">
        <v>31</v>
      </c>
      <c r="N29" s="58" t="s">
        <v>32</v>
      </c>
      <c r="O29" s="58"/>
      <c r="P29" s="56"/>
      <c r="Q29" s="59" t="s">
        <v>43</v>
      </c>
      <c r="R29" s="57"/>
      <c r="S29" s="122"/>
      <c r="T29" s="109"/>
      <c r="U29" s="44"/>
      <c r="V29" s="742"/>
      <c r="W29" s="742"/>
      <c r="X29" s="639" t="str">
        <f>IF(AF37,"","область не срабатывания")</f>
        <v/>
      </c>
      <c r="Y29" s="43"/>
      <c r="Z29" s="43"/>
      <c r="AA29" s="43"/>
      <c r="AB29" s="43"/>
      <c r="AC29" s="43"/>
      <c r="AD29" s="43"/>
      <c r="AE29" s="87"/>
      <c r="AF29" s="83"/>
      <c r="AG29" s="195"/>
      <c r="AH29" s="43"/>
      <c r="AI29" s="43"/>
      <c r="AJ29" s="122"/>
      <c r="AK29" s="123"/>
    </row>
    <row r="30" spans="1:37" ht="15.75" x14ac:dyDescent="0.25">
      <c r="A30" s="17"/>
      <c r="B30" s="46"/>
      <c r="C30" s="663"/>
      <c r="D30" s="663"/>
      <c r="E30" s="17"/>
      <c r="F30" s="151"/>
      <c r="G30" s="566"/>
      <c r="H30" s="44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122"/>
      <c r="T30" s="109"/>
      <c r="U30" s="44"/>
      <c r="V30" s="663"/>
      <c r="W30" s="663"/>
      <c r="X30" s="639"/>
      <c r="Y30" s="43"/>
      <c r="Z30" s="43"/>
      <c r="AA30" s="43"/>
      <c r="AB30" s="43"/>
      <c r="AC30" s="43"/>
      <c r="AD30" s="43"/>
      <c r="AE30" s="87"/>
      <c r="AF30" s="83"/>
      <c r="AG30" s="195"/>
      <c r="AH30" s="43"/>
      <c r="AI30" s="43"/>
      <c r="AJ30" s="122"/>
      <c r="AK30" s="123"/>
    </row>
    <row r="31" spans="1:37" x14ac:dyDescent="0.25">
      <c r="A31" s="17"/>
      <c r="B31" s="17"/>
      <c r="C31" s="105" t="s">
        <v>563</v>
      </c>
      <c r="D31" s="17"/>
      <c r="E31" s="17"/>
      <c r="F31" s="122"/>
      <c r="G31" s="566"/>
      <c r="H31" s="44"/>
      <c r="I31" s="288" t="s">
        <v>113</v>
      </c>
      <c r="J31" s="17"/>
      <c r="K31" s="61" t="str">
        <f>IF(E45=1,"Z, Ом","U, B")</f>
        <v>Z, Ом</v>
      </c>
      <c r="L31" s="62" t="s">
        <v>129</v>
      </c>
      <c r="M31" s="17"/>
      <c r="N31" s="17"/>
      <c r="O31" s="204"/>
      <c r="P31" s="147" t="s">
        <v>97</v>
      </c>
      <c r="Q31" s="148" t="s">
        <v>98</v>
      </c>
      <c r="R31" s="149" t="s">
        <v>99</v>
      </c>
      <c r="S31" s="122"/>
      <c r="T31" s="109"/>
      <c r="U31" s="44"/>
      <c r="V31" s="680"/>
      <c r="W31" s="43"/>
      <c r="X31" s="43"/>
      <c r="Y31" s="43"/>
      <c r="Z31" s="43"/>
      <c r="AA31" s="43"/>
      <c r="AB31" s="43"/>
      <c r="AC31" s="43"/>
      <c r="AD31" s="43"/>
      <c r="AE31" s="87"/>
      <c r="AF31" s="83"/>
      <c r="AG31" s="195"/>
      <c r="AH31" s="43"/>
      <c r="AI31" s="43"/>
      <c r="AJ31" s="122"/>
      <c r="AK31" s="123"/>
    </row>
    <row r="32" spans="1:37" ht="15.75" thickBot="1" x14ac:dyDescent="0.3">
      <c r="A32" s="17"/>
      <c r="B32" s="46">
        <v>10</v>
      </c>
      <c r="C32" s="663" t="s">
        <v>77</v>
      </c>
      <c r="D32" s="663" t="s">
        <v>15</v>
      </c>
      <c r="E32" s="2">
        <v>2.24E-2</v>
      </c>
      <c r="F32" s="151" t="str">
        <f t="shared" ref="F32:F34" si="1">IF(ISNUMBER(E32),"","Err")</f>
        <v/>
      </c>
      <c r="G32" s="566"/>
      <c r="H32" s="44"/>
      <c r="I32" s="63"/>
      <c r="J32" s="43"/>
      <c r="K32" s="64"/>
      <c r="L32" s="64"/>
      <c r="M32" s="43"/>
      <c r="N32" s="65"/>
      <c r="O32" s="205"/>
      <c r="P32" s="66"/>
      <c r="Q32" s="66"/>
      <c r="R32" s="66"/>
      <c r="S32" s="122"/>
      <c r="T32" s="109"/>
      <c r="U32" s="44"/>
      <c r="V32" s="196" t="s">
        <v>122</v>
      </c>
      <c r="W32" s="48"/>
      <c r="X32" s="43"/>
      <c r="Y32" s="196" t="s">
        <v>119</v>
      </c>
      <c r="Z32" s="48"/>
      <c r="AA32" s="43"/>
      <c r="AB32" s="196" t="s">
        <v>116</v>
      </c>
      <c r="AC32" s="48"/>
      <c r="AD32" s="43"/>
      <c r="AE32" s="49" t="s">
        <v>290</v>
      </c>
      <c r="AF32" s="197" t="s">
        <v>100</v>
      </c>
      <c r="AG32" s="49" t="s">
        <v>101</v>
      </c>
      <c r="AH32" s="43"/>
      <c r="AI32" s="43"/>
      <c r="AJ32" s="122"/>
      <c r="AK32" s="123"/>
    </row>
    <row r="33" spans="1:37" ht="15.75" thickBot="1" x14ac:dyDescent="0.3">
      <c r="A33" s="17"/>
      <c r="B33" s="46">
        <v>11</v>
      </c>
      <c r="C33" s="663" t="s">
        <v>78</v>
      </c>
      <c r="D33" s="663" t="s">
        <v>16</v>
      </c>
      <c r="E33" s="2">
        <v>7.1000000000000004E-3</v>
      </c>
      <c r="F33" s="151" t="str">
        <f t="shared" si="1"/>
        <v/>
      </c>
      <c r="G33" s="566"/>
      <c r="H33" s="44"/>
      <c r="I33" s="617" t="s">
        <v>131</v>
      </c>
      <c r="J33" s="17"/>
      <c r="K33" s="153">
        <f>ROUNDUP(AD60*IF(E45=1,1,2*E41)*1.1,1)</f>
        <v>4.4000000000000004</v>
      </c>
      <c r="L33" s="67">
        <f>AD61</f>
        <v>90</v>
      </c>
      <c r="M33" s="184" t="str">
        <f>IF(E45=1,"уменьш. Z до","уменьш. U до")</f>
        <v>уменьш. Z до</v>
      </c>
      <c r="N33" s="75">
        <f>AD60*IF(E45=1,1,2*E41)</f>
        <v>4</v>
      </c>
      <c r="O33" s="188" t="str">
        <f>IF(E45=1,"Z -&gt; ","U -&gt; ")</f>
        <v xml:space="preserve">Z -&gt; </v>
      </c>
      <c r="P33" s="13">
        <v>0</v>
      </c>
      <c r="Q33" s="11">
        <v>0</v>
      </c>
      <c r="R33" s="14">
        <v>0</v>
      </c>
      <c r="S33" s="151" t="str">
        <f>IF(AND(ISNUMBER(P33),ISNUMBER(Q33),ISNUMBER(R33)),"","Err")</f>
        <v/>
      </c>
      <c r="T33" s="109"/>
      <c r="U33" s="44"/>
      <c r="V33" s="90" t="s">
        <v>86</v>
      </c>
      <c r="W33" s="91">
        <f>E18*(IF(E29=1,1,-1))</f>
        <v>4</v>
      </c>
      <c r="X33" s="43"/>
      <c r="Y33" s="92" t="s">
        <v>259</v>
      </c>
      <c r="Z33" s="93">
        <f>IF(E47="есть",1,0)</f>
        <v>1</v>
      </c>
      <c r="AA33" s="43"/>
      <c r="AB33" s="92" t="s">
        <v>139</v>
      </c>
      <c r="AC33" s="93">
        <f>IF(E29=1,0,1)</f>
        <v>0</v>
      </c>
      <c r="AD33" s="43"/>
      <c r="AE33" s="179" t="s">
        <v>289</v>
      </c>
      <c r="AF33" s="180">
        <f>Y26</f>
        <v>1.5000000000000004</v>
      </c>
      <c r="AG33" s="181">
        <f>Z26</f>
        <v>2.598076211353316</v>
      </c>
      <c r="AH33" s="43"/>
      <c r="AI33" s="43"/>
      <c r="AJ33" s="122"/>
      <c r="AK33" s="123"/>
    </row>
    <row r="34" spans="1:37" ht="15.75" thickBot="1" x14ac:dyDescent="0.3">
      <c r="A34" s="17"/>
      <c r="B34" s="46">
        <v>12</v>
      </c>
      <c r="C34" s="43" t="s">
        <v>551</v>
      </c>
      <c r="D34" s="663" t="s">
        <v>552</v>
      </c>
      <c r="E34" s="679">
        <f>DEGREES(ATAN(E32/E33))</f>
        <v>72.413244358301839</v>
      </c>
      <c r="F34" s="151" t="str">
        <f t="shared" si="1"/>
        <v/>
      </c>
      <c r="G34" s="566"/>
      <c r="H34" s="44"/>
      <c r="I34" s="618" t="s">
        <v>132</v>
      </c>
      <c r="J34" s="17"/>
      <c r="K34" s="154">
        <f>ROUNDUP(IF(E45=1,Z60,Z60*(2*E41))*1.1,1)</f>
        <v>2.7</v>
      </c>
      <c r="L34" s="68">
        <f>Z61</f>
        <v>18</v>
      </c>
      <c r="M34" s="185" t="str">
        <f>IF(E45=1,"уменьш. Z до","уменьш. U до")</f>
        <v>уменьш. Z до</v>
      </c>
      <c r="N34" s="76">
        <f>IF(E45=1,Z60,Z60*(2*E41))</f>
        <v>2.3849741046932142</v>
      </c>
      <c r="O34" s="189" t="str">
        <f>IF(E45=1,"Z -&gt; ","U -&gt; ")</f>
        <v xml:space="preserve">Z -&gt; </v>
      </c>
      <c r="P34" s="13">
        <v>0</v>
      </c>
      <c r="Q34" s="11">
        <v>0</v>
      </c>
      <c r="R34" s="14">
        <v>0</v>
      </c>
      <c r="S34" s="151" t="str">
        <f>IF(AND(ISNUMBER(P34),ISNUMBER(Q34),ISNUMBER(R34)),"","Err")</f>
        <v/>
      </c>
      <c r="T34" s="109"/>
      <c r="U34" s="44"/>
      <c r="V34" s="92" t="s">
        <v>87</v>
      </c>
      <c r="W34" s="94">
        <f>E19*(IF(E29=1,1,-1))</f>
        <v>2</v>
      </c>
      <c r="X34" s="43"/>
      <c r="Y34" s="92" t="s">
        <v>260</v>
      </c>
      <c r="Z34" s="169">
        <f>IF(E48="есть",1,0)</f>
        <v>1</v>
      </c>
      <c r="AA34" s="43"/>
      <c r="AB34" s="95" t="s">
        <v>552</v>
      </c>
      <c r="AC34" s="96">
        <f>IF(E29=1,E34,E34+180)</f>
        <v>72.413244358301839</v>
      </c>
      <c r="AD34" s="43"/>
      <c r="AE34" s="92" t="s">
        <v>286</v>
      </c>
      <c r="AF34" s="182">
        <f>IF(OR(AND(AC33=0,AF33&gt;=(AG33/TAN(RADIANS(W35))),AF33&lt;=(W34+AG33/TAN(RADIANS(W35)))),AND(AC33=1,AF33&lt;=(AG33/TAN(RADIANS(W35))),AF33&gt;=(W34+AG33/TAN(RADIANS(W35))))),1,0)</f>
        <v>1</v>
      </c>
      <c r="AG34" s="183">
        <f>IF(OR(AND(AC33=0,ABS(AG33)&lt;=ABS(W33),AG33&gt;=(AF33*TAN(RADIANS(W36))),AG33&lt;=(W33+TAN(RADIANS(W38))*(AF33-W33/TAN(RADIANS(AC34))))),AND(AC33=1,ABS(AG33)&lt;=ABS(W33),AG33&lt;=(AF33*TAN(RADIANS(W36))),AG33&gt;=(W33+TAN(RADIANS(W38))*(AF33-W33/TAN(RADIANS(AC34)))))),1,0)</f>
        <v>1</v>
      </c>
      <c r="AH34" s="43"/>
      <c r="AI34" s="43"/>
      <c r="AJ34" s="122"/>
      <c r="AK34" s="123"/>
    </row>
    <row r="35" spans="1:37" ht="15.75" thickBot="1" x14ac:dyDescent="0.3">
      <c r="A35" s="17"/>
      <c r="B35" s="48"/>
      <c r="C35" s="48"/>
      <c r="D35" s="48"/>
      <c r="E35" s="132"/>
      <c r="F35" s="122"/>
      <c r="G35" s="566"/>
      <c r="H35" s="44"/>
      <c r="I35" s="618" t="s">
        <v>133</v>
      </c>
      <c r="J35" s="17"/>
      <c r="K35" s="154">
        <f>IF(E45=1,AA60,AA60*(2*E41))</f>
        <v>4.1999999999999993</v>
      </c>
      <c r="L35" s="68">
        <f>ROUNDDOWN(AA61,0)-5</f>
        <v>38</v>
      </c>
      <c r="M35" s="185" t="s">
        <v>76</v>
      </c>
      <c r="N35" s="76">
        <f>AA61</f>
        <v>43.418351242898645</v>
      </c>
      <c r="O35" s="189" t="s">
        <v>292</v>
      </c>
      <c r="P35" s="13">
        <v>0</v>
      </c>
      <c r="Q35" s="11">
        <v>0</v>
      </c>
      <c r="R35" s="14">
        <v>0</v>
      </c>
      <c r="S35" s="151" t="str">
        <f>IF(AND(ISNUMBER(P35),ISNUMBER(Q35),ISNUMBER(R35)),"","Err")</f>
        <v/>
      </c>
      <c r="T35" s="109"/>
      <c r="U35" s="44"/>
      <c r="V35" s="95" t="s">
        <v>59</v>
      </c>
      <c r="W35" s="96">
        <f>IF(E29=1,E21,E21+180)</f>
        <v>70</v>
      </c>
      <c r="X35" s="43"/>
      <c r="Y35" s="92" t="s">
        <v>94</v>
      </c>
      <c r="Z35" s="94">
        <f>E26*(IF(E29=1,1,-1))</f>
        <v>1</v>
      </c>
      <c r="AA35" s="43"/>
      <c r="AB35" s="95" t="s">
        <v>555</v>
      </c>
      <c r="AC35" s="169">
        <f>IF(E52="есть",1,0)</f>
        <v>1</v>
      </c>
      <c r="AD35" s="43"/>
      <c r="AE35" s="95" t="s">
        <v>287</v>
      </c>
      <c r="AF35" s="182">
        <f>IF(OR(AND(AC33=0,AF33&gt;=(AG33/TAN(RADIANS(W35))-W34),AF33&lt;=(AG33/TAN(RADIANS(W35)))),AND(AC33=1,AF33&lt;=(AG33/TAN(RADIANS(W35))-W34),AF33&gt;=(AG33/TAN(RADIANS(W35))))),1,0)</f>
        <v>0</v>
      </c>
      <c r="AG35" s="183">
        <f>IF(OR(AND(AC33=0,AG33&gt;=(AF33*TAN(RADIANS(W37))),AG33&lt;=W33),AND(AC33=1,AG33&lt;=(AF33*TAN(RADIANS(W37))),AG33&gt;=W33)),1,0)</f>
        <v>1</v>
      </c>
      <c r="AH35" s="43"/>
      <c r="AI35" s="43"/>
      <c r="AJ35" s="122"/>
      <c r="AK35" s="123"/>
    </row>
    <row r="36" spans="1:37" ht="15.75" thickBot="1" x14ac:dyDescent="0.3">
      <c r="A36" s="17"/>
      <c r="B36" s="17"/>
      <c r="C36" s="17"/>
      <c r="D36" s="17"/>
      <c r="E36" s="17"/>
      <c r="F36" s="122"/>
      <c r="G36" s="566"/>
      <c r="H36" s="44"/>
      <c r="I36" s="618" t="s">
        <v>134</v>
      </c>
      <c r="J36" s="17"/>
      <c r="K36" s="154">
        <f>IF(E45=1,W60,W60*(2*E41))</f>
        <v>1.6000000000000003</v>
      </c>
      <c r="L36" s="68">
        <f>W61-5</f>
        <v>335</v>
      </c>
      <c r="M36" s="185" t="s">
        <v>76</v>
      </c>
      <c r="N36" s="76">
        <f>W61</f>
        <v>340</v>
      </c>
      <c r="O36" s="189" t="s">
        <v>292</v>
      </c>
      <c r="P36" s="13">
        <v>0</v>
      </c>
      <c r="Q36" s="11">
        <v>0</v>
      </c>
      <c r="R36" s="14">
        <v>0</v>
      </c>
      <c r="S36" s="151" t="str">
        <f>IF(AND(ISNUMBER(P36),ISNUMBER(Q36),ISNUMBER(R36)),"","Err")</f>
        <v/>
      </c>
      <c r="T36" s="109"/>
      <c r="U36" s="44"/>
      <c r="V36" s="95" t="s">
        <v>60</v>
      </c>
      <c r="W36" s="96">
        <f>IF(E29=1,E22,E22+180)</f>
        <v>-20</v>
      </c>
      <c r="X36" s="43"/>
      <c r="Y36" s="95" t="s">
        <v>93</v>
      </c>
      <c r="Z36" s="96">
        <f>E27</f>
        <v>15</v>
      </c>
      <c r="AA36" s="43"/>
      <c r="AB36" s="95" t="s">
        <v>556</v>
      </c>
      <c r="AC36" s="169">
        <f>IF(E53="есть",1,0)</f>
        <v>1</v>
      </c>
      <c r="AD36" s="43"/>
      <c r="AE36" s="95" t="s">
        <v>288</v>
      </c>
      <c r="AF36" s="182">
        <f>IF(ABS(AF33)&gt;ABS(E26),1,0)</f>
        <v>1</v>
      </c>
      <c r="AG36" s="183">
        <f>IF(OR(AND(AG33&gt;(AF33*TAN(RADIANS(Z37))),AG33&lt;(AF33*TAN(RADIANS(Z38)))),AND(AG33&lt;(AF33*TAN(RADIANS(Z37))),AG33&gt;(AF33*TAN(RADIANS(Z38))))),1,0)</f>
        <v>0</v>
      </c>
      <c r="AH36" s="43"/>
      <c r="AI36" s="43"/>
      <c r="AJ36" s="122"/>
      <c r="AK36" s="123"/>
    </row>
    <row r="37" spans="1:37" ht="15.75" x14ac:dyDescent="0.25">
      <c r="A37" s="17"/>
      <c r="B37" s="8" t="s">
        <v>161</v>
      </c>
      <c r="C37" s="5"/>
      <c r="D37" s="5"/>
      <c r="E37" s="5"/>
      <c r="F37" s="122"/>
      <c r="G37" s="566"/>
      <c r="H37" s="44"/>
      <c r="I37" s="619" t="s">
        <v>135</v>
      </c>
      <c r="J37" s="17"/>
      <c r="K37" s="155">
        <f>IF(E45=1,AE60,AE60*(2*E41))</f>
        <v>2.2999999999999998</v>
      </c>
      <c r="L37" s="69">
        <f>AE61+5</f>
        <v>119.99999999999999</v>
      </c>
      <c r="M37" s="186" t="s">
        <v>42</v>
      </c>
      <c r="N37" s="77">
        <f>AE61</f>
        <v>114.99999999999999</v>
      </c>
      <c r="O37" s="190" t="s">
        <v>292</v>
      </c>
      <c r="P37" s="15">
        <v>0</v>
      </c>
      <c r="Q37" s="12">
        <v>0</v>
      </c>
      <c r="R37" s="16">
        <v>0</v>
      </c>
      <c r="S37" s="151" t="str">
        <f>IF(AND(ISNUMBER(P37),ISNUMBER(Q37),ISNUMBER(R37)),"","Err")</f>
        <v/>
      </c>
      <c r="T37" s="109"/>
      <c r="U37" s="44"/>
      <c r="V37" s="95" t="s">
        <v>61</v>
      </c>
      <c r="W37" s="96">
        <f>IF(E29=1,E23,E23+180)</f>
        <v>115</v>
      </c>
      <c r="X37" s="43"/>
      <c r="Y37" s="95" t="s">
        <v>117</v>
      </c>
      <c r="Z37" s="96">
        <f>IF(E29=1,(-1)*E27,(-1)*E27+180)</f>
        <v>-15</v>
      </c>
      <c r="AA37" s="43"/>
      <c r="AB37" s="95"/>
      <c r="AC37" s="96"/>
      <c r="AD37" s="43"/>
      <c r="AE37" s="95" t="s">
        <v>291</v>
      </c>
      <c r="AF37" s="182">
        <f>IF(AND(OR(AND(AF34,AG34),AND(AF35,AG35)),NOT(AND(AF36,AG36))),1,0)</f>
        <v>1</v>
      </c>
      <c r="AG37" s="183"/>
      <c r="AH37" s="43"/>
      <c r="AI37" s="43"/>
      <c r="AJ37" s="122"/>
      <c r="AK37" s="123"/>
    </row>
    <row r="38" spans="1:37" ht="15.75" thickBot="1" x14ac:dyDescent="0.3">
      <c r="A38" s="17"/>
      <c r="B38" s="43"/>
      <c r="C38" s="43"/>
      <c r="D38" s="43"/>
      <c r="E38" s="53"/>
      <c r="F38" s="122"/>
      <c r="G38" s="566"/>
      <c r="H38" s="44"/>
      <c r="I38" s="17"/>
      <c r="J38" s="64"/>
      <c r="K38" s="70"/>
      <c r="L38" s="71"/>
      <c r="M38" s="79"/>
      <c r="N38" s="70"/>
      <c r="O38" s="174"/>
      <c r="P38" s="335"/>
      <c r="Q38" s="335"/>
      <c r="R38" s="335"/>
      <c r="S38" s="122"/>
      <c r="T38" s="109"/>
      <c r="U38" s="44"/>
      <c r="V38" s="95" t="s">
        <v>107</v>
      </c>
      <c r="W38" s="96">
        <f>IF(E29=1,E24,E24+180)</f>
        <v>-15</v>
      </c>
      <c r="X38" s="43"/>
      <c r="Y38" s="95" t="s">
        <v>118</v>
      </c>
      <c r="Z38" s="96">
        <f>IF(E29=1,E27,E27+180)</f>
        <v>15</v>
      </c>
      <c r="AA38" s="43"/>
      <c r="AB38" s="95"/>
      <c r="AC38" s="96"/>
      <c r="AD38" s="43"/>
      <c r="AE38" s="95"/>
      <c r="AF38" s="198"/>
      <c r="AG38" s="199"/>
      <c r="AH38" s="43"/>
      <c r="AI38" s="43"/>
      <c r="AJ38" s="122"/>
      <c r="AK38" s="123"/>
    </row>
    <row r="39" spans="1:37" ht="15.75" thickBot="1" x14ac:dyDescent="0.3">
      <c r="A39" s="17"/>
      <c r="B39" s="50" t="s">
        <v>62</v>
      </c>
      <c r="C39" s="51" t="s">
        <v>63</v>
      </c>
      <c r="D39" s="50" t="s">
        <v>67</v>
      </c>
      <c r="E39" s="50" t="s">
        <v>68</v>
      </c>
      <c r="F39" s="122"/>
      <c r="G39" s="566"/>
      <c r="H39" s="44"/>
      <c r="I39" s="288" t="s">
        <v>114</v>
      </c>
      <c r="J39" s="72"/>
      <c r="K39" s="137" t="str">
        <f>IF(E47="есть",IF(E48="есть","(предусмотрена)","(не возможна)"),"(не предусмотрена)")</f>
        <v>(предусмотрена)</v>
      </c>
      <c r="L39" s="73"/>
      <c r="M39" s="166"/>
      <c r="N39" s="166"/>
      <c r="O39" s="166"/>
      <c r="P39" s="166"/>
      <c r="Q39" s="166"/>
      <c r="R39" s="166"/>
      <c r="S39" s="122"/>
      <c r="T39" s="109"/>
      <c r="U39" s="44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122"/>
      <c r="AK39" s="123"/>
    </row>
    <row r="40" spans="1:37" x14ac:dyDescent="0.25">
      <c r="A40" s="17"/>
      <c r="B40" s="17"/>
      <c r="C40" s="17"/>
      <c r="D40" s="17"/>
      <c r="E40" s="17"/>
      <c r="F40" s="122"/>
      <c r="G40" s="566"/>
      <c r="H40" s="44"/>
      <c r="I40" s="46"/>
      <c r="J40" s="64"/>
      <c r="K40" s="70"/>
      <c r="L40" s="71"/>
      <c r="M40" s="79"/>
      <c r="N40" s="70"/>
      <c r="O40" s="174"/>
      <c r="P40" s="335"/>
      <c r="Q40" s="335"/>
      <c r="R40" s="335"/>
      <c r="S40" s="122"/>
      <c r="T40" s="109"/>
      <c r="U40" s="44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122"/>
      <c r="AK40" s="123"/>
    </row>
    <row r="41" spans="1:37" ht="15.75" thickBot="1" x14ac:dyDescent="0.3">
      <c r="A41" s="17"/>
      <c r="B41" s="46">
        <v>1</v>
      </c>
      <c r="C41" s="43" t="s">
        <v>128</v>
      </c>
      <c r="D41" s="43" t="s">
        <v>25</v>
      </c>
      <c r="E41" s="1">
        <v>5</v>
      </c>
      <c r="F41" s="151" t="str">
        <f>IF(ISNUMBER(E41),IF(OR(E41=1,E41=5),"","Не ном."),"Err")</f>
        <v/>
      </c>
      <c r="G41" s="566"/>
      <c r="H41" s="44"/>
      <c r="I41" s="617" t="s">
        <v>136</v>
      </c>
      <c r="J41" s="64"/>
      <c r="K41" s="153">
        <f>IF(AND(E48="есть",(AB48-AA48)*100/W34&gt;=5),ROUNDUP(X60*IF(E45=1,1,2*E41)*1.1,1),"-")</f>
        <v>1.1000000000000001</v>
      </c>
      <c r="L41" s="67">
        <f>IF(AND(E48="есть",(AB48-AA48)*100/W34&gt;=5),X61,"-")</f>
        <v>0</v>
      </c>
      <c r="M41" s="184" t="str">
        <f>IF(E48="есть",IF(E45=1,"уменьш. Z до","уменьш. U до"),"-")</f>
        <v>уменьш. Z до</v>
      </c>
      <c r="N41" s="75">
        <f>IF(AND(E48="есть",(AB48-AA48)*100/W34&gt;=5),X60*IF(E45=1,1,2*E41),"-")</f>
        <v>1</v>
      </c>
      <c r="O41" s="188" t="str">
        <f>IF(E45=1,"Z -&gt; ","U -&gt; ")</f>
        <v xml:space="preserve">Z -&gt; </v>
      </c>
      <c r="P41" s="13">
        <v>0</v>
      </c>
      <c r="Q41" s="11">
        <v>0</v>
      </c>
      <c r="R41" s="14">
        <v>0</v>
      </c>
      <c r="S41" s="151" t="str">
        <f>IF(AND(ISNUMBER(P41),ISNUMBER(Q41),ISNUMBER(R41)),"","Err")</f>
        <v/>
      </c>
      <c r="T41" s="109"/>
      <c r="U41" s="44"/>
      <c r="V41" s="43" t="s">
        <v>110</v>
      </c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122"/>
      <c r="AK41" s="123"/>
    </row>
    <row r="42" spans="1:37" ht="15.75" thickBot="1" x14ac:dyDescent="0.3">
      <c r="A42" s="17"/>
      <c r="B42" s="46"/>
      <c r="C42" s="43"/>
      <c r="D42" s="43"/>
      <c r="E42" s="131"/>
      <c r="F42" s="122"/>
      <c r="G42" s="566"/>
      <c r="H42" s="44"/>
      <c r="I42" s="619" t="s">
        <v>137</v>
      </c>
      <c r="J42" s="17"/>
      <c r="K42" s="155">
        <f>IF(AND(E48="есть",(AB48-AA48)*100/W34&gt;=5),Y60*IF(E45=1,1,2*E41),"-")</f>
        <v>1.9</v>
      </c>
      <c r="L42" s="69">
        <f>IF(AND(E48="есть",(AB48-AA48)*100/W34&gt;=5),Y61-5,"-")</f>
        <v>9.9999999999999982</v>
      </c>
      <c r="M42" s="185" t="str">
        <f>IF(E48="есть","увелич. fi до","-")</f>
        <v>увелич. fi до</v>
      </c>
      <c r="N42" s="77">
        <f>IF(AND(E48="есть",(AB48-AA48)*100/W34&gt;=5),Y61,"-")</f>
        <v>14.999999999999998</v>
      </c>
      <c r="O42" s="189" t="s">
        <v>292</v>
      </c>
      <c r="P42" s="13">
        <v>0</v>
      </c>
      <c r="Q42" s="11">
        <v>0</v>
      </c>
      <c r="R42" s="14">
        <v>0</v>
      </c>
      <c r="S42" s="151" t="str">
        <f>IF(AND(ISNUMBER(P42),ISNUMBER(Q42),ISNUMBER(R42)),"","Err")</f>
        <v/>
      </c>
      <c r="T42" s="109"/>
      <c r="U42" s="44"/>
      <c r="V42" s="17"/>
      <c r="W42" s="53" t="s">
        <v>37</v>
      </c>
      <c r="X42" s="53" t="s">
        <v>38</v>
      </c>
      <c r="Y42" s="53" t="s">
        <v>39</v>
      </c>
      <c r="Z42" s="53" t="s">
        <v>40</v>
      </c>
      <c r="AA42" s="53" t="s">
        <v>111</v>
      </c>
      <c r="AB42" s="53" t="s">
        <v>41</v>
      </c>
      <c r="AC42" s="53" t="s">
        <v>44</v>
      </c>
      <c r="AD42" s="53" t="s">
        <v>102</v>
      </c>
      <c r="AE42" s="53" t="s">
        <v>103</v>
      </c>
      <c r="AF42" s="53" t="s">
        <v>104</v>
      </c>
      <c r="AG42" s="53" t="s">
        <v>105</v>
      </c>
      <c r="AH42" s="53" t="s">
        <v>108</v>
      </c>
      <c r="AI42" s="53" t="s">
        <v>106</v>
      </c>
      <c r="AJ42" s="122"/>
      <c r="AK42" s="123"/>
    </row>
    <row r="43" spans="1:37" ht="15" customHeight="1" thickBot="1" x14ac:dyDescent="0.3">
      <c r="A43" s="17"/>
      <c r="B43" s="46">
        <v>2</v>
      </c>
      <c r="C43" s="43" t="s">
        <v>140</v>
      </c>
      <c r="D43" s="43" t="s">
        <v>141</v>
      </c>
      <c r="E43" s="1">
        <v>0.1</v>
      </c>
      <c r="F43" s="151" t="str">
        <f>IF(ISNUMBER(E43),IF(OR(E43=0.1,E43=0.5,L49=0.1,L49=0.5),"","Err"),"Err")</f>
        <v/>
      </c>
      <c r="G43" s="566"/>
      <c r="H43" s="44"/>
      <c r="I43" s="17"/>
      <c r="J43" s="17"/>
      <c r="K43" s="17"/>
      <c r="L43" s="43"/>
      <c r="M43" s="44"/>
      <c r="N43" s="44"/>
      <c r="O43" s="44"/>
      <c r="P43" s="44"/>
      <c r="Q43" s="44"/>
      <c r="R43" s="44"/>
      <c r="S43" s="122"/>
      <c r="T43" s="109"/>
      <c r="U43" s="44"/>
      <c r="V43" s="681" t="s">
        <v>100</v>
      </c>
      <c r="W43" s="97">
        <v>0</v>
      </c>
      <c r="X43" s="97">
        <f>W34*TAN(RADIANS(W35))/(TAN(RADIANS(W35))-TAN(RADIANS(W36)))</f>
        <v>1.7660444431189779</v>
      </c>
      <c r="Y43" s="97">
        <f>W34*TAN(RADIANS(W35))/(TAN(RADIANS(W35))-TAN(RADIANS(Z37)))</f>
        <v>1.8222810720214766</v>
      </c>
      <c r="Z43" s="97">
        <f>Z35</f>
        <v>1</v>
      </c>
      <c r="AA43" s="97">
        <f>Z35</f>
        <v>1</v>
      </c>
      <c r="AB43" s="97">
        <f>Z35</f>
        <v>1</v>
      </c>
      <c r="AC43" s="97">
        <f>W34*TAN(RADIANS(W35))/(TAN(RADIANS(W35))-TAN(RADIANS(Z38)))</f>
        <v>2.2161291728892936</v>
      </c>
      <c r="AD43" s="97">
        <f>(W33*(1-TAN(RADIANS(W38))/TAN(RADIANS(AC34)))+W34*TAN(RADIANS(W35)))/(TAN(RADIANS(W35))-TAN(RADIANS(W38)))</f>
        <v>3.261454315515766</v>
      </c>
      <c r="AE43" s="97">
        <f>AE44/TAN(RADIANS(AC34))</f>
        <v>1.2678571428571432</v>
      </c>
      <c r="AF43" s="97">
        <f>(AF44/TAN(RADIANS(W35)))-W34</f>
        <v>-0.54411906293519019</v>
      </c>
      <c r="AG43" s="97">
        <f>TAN(RADIANS(W35))*W34/(TAN(RADIANS(W37))-TAN(RADIANS(W35)))</f>
        <v>-1.1232568334324384</v>
      </c>
      <c r="AH43" s="97">
        <f>W33/TAN(RADIANS(W37))</f>
        <v>-1.8652306326199937</v>
      </c>
      <c r="AI43" s="97">
        <v>0</v>
      </c>
      <c r="AJ43" s="122"/>
      <c r="AK43" s="123"/>
    </row>
    <row r="44" spans="1:37" ht="15.75" customHeight="1" x14ac:dyDescent="0.25">
      <c r="A44" s="17"/>
      <c r="B44" s="17"/>
      <c r="C44" s="17"/>
      <c r="D44" s="17"/>
      <c r="E44" s="10" t="s">
        <v>590</v>
      </c>
      <c r="F44" s="122"/>
      <c r="G44" s="566"/>
      <c r="H44" s="44"/>
      <c r="I44" s="288" t="s">
        <v>553</v>
      </c>
      <c r="J44" s="17"/>
      <c r="K44" s="137" t="str">
        <f>IF(E52="есть",IF(E53="есть","(предусмотрена)","(не возможна)"),"(не предусмотрена)")</f>
        <v>(предусмотрена)</v>
      </c>
      <c r="L44" s="43"/>
      <c r="M44" s="44"/>
      <c r="N44" s="44"/>
      <c r="O44" s="44"/>
      <c r="P44" s="44"/>
      <c r="Q44" s="336"/>
      <c r="R44" s="336"/>
      <c r="S44" s="122"/>
      <c r="T44" s="109"/>
      <c r="U44" s="44"/>
      <c r="V44" s="681" t="s">
        <v>101</v>
      </c>
      <c r="W44" s="97">
        <v>0</v>
      </c>
      <c r="X44" s="97">
        <f>X43*TAN(RADIANS(W36))</f>
        <v>-0.64278760968653925</v>
      </c>
      <c r="Y44" s="97">
        <f>Y43*TAN(RADIANS(Z37))</f>
        <v>-0.48827874163067519</v>
      </c>
      <c r="Z44" s="97">
        <f>Z43*TAN(RADIANS(Z37))</f>
        <v>-0.2679491924311227</v>
      </c>
      <c r="AA44" s="97">
        <f>TAN(RADIANS(W35))*(AA43-W34)</f>
        <v>-2.7474774194546216</v>
      </c>
      <c r="AB44" s="97">
        <f>Z43*TAN(RADIANS(Z38))</f>
        <v>0.2679491924311227</v>
      </c>
      <c r="AC44" s="97">
        <f>AC43*TAN(RADIANS(Z38))</f>
        <v>0.59381002219873813</v>
      </c>
      <c r="AD44" s="97">
        <f>TAN(RADIANS(W35))*(AD43-W34)</f>
        <v>3.465817247553153</v>
      </c>
      <c r="AE44" s="97">
        <f>W33</f>
        <v>4</v>
      </c>
      <c r="AF44" s="97">
        <f>W33</f>
        <v>4</v>
      </c>
      <c r="AG44" s="97">
        <f>AG43*TAN(RADIANS(W37))</f>
        <v>2.4088320528055176</v>
      </c>
      <c r="AH44" s="97">
        <f>AH43*TAN(RADIANS(W37))</f>
        <v>4</v>
      </c>
      <c r="AI44" s="97">
        <v>0</v>
      </c>
      <c r="AJ44" s="122"/>
      <c r="AK44" s="123"/>
    </row>
    <row r="45" spans="1:37" ht="15.75" thickBot="1" x14ac:dyDescent="0.3">
      <c r="A45" s="17"/>
      <c r="B45" s="46">
        <v>3</v>
      </c>
      <c r="C45" s="43" t="s">
        <v>115</v>
      </c>
      <c r="D45" s="47" t="s">
        <v>56</v>
      </c>
      <c r="E45" s="9">
        <v>1</v>
      </c>
      <c r="F45" s="151" t="str">
        <f>IF(OR(E45=1,E45=2),"","Err")</f>
        <v/>
      </c>
      <c r="G45" s="566"/>
      <c r="H45" s="44"/>
      <c r="I45" s="17"/>
      <c r="J45" s="17"/>
      <c r="K45" s="17"/>
      <c r="L45" s="43"/>
      <c r="M45" s="44"/>
      <c r="N45" s="44"/>
      <c r="O45" s="44"/>
      <c r="P45" s="44"/>
      <c r="Q45" s="336"/>
      <c r="R45" s="336"/>
      <c r="S45" s="122"/>
      <c r="T45" s="109"/>
      <c r="U45" s="44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122"/>
      <c r="AK45" s="123"/>
    </row>
    <row r="46" spans="1:37" ht="15" customHeight="1" thickBot="1" x14ac:dyDescent="0.3">
      <c r="A46" s="17"/>
      <c r="B46" s="46"/>
      <c r="C46" s="52"/>
      <c r="D46" s="47"/>
      <c r="E46" s="131"/>
      <c r="F46" s="122"/>
      <c r="G46" s="566"/>
      <c r="H46" s="44"/>
      <c r="I46" s="617" t="s">
        <v>164</v>
      </c>
      <c r="J46" s="17"/>
      <c r="K46" s="153">
        <f>IF(E53="нет","-",ROUNDUP(AB60*IF(E45=1,1,2*E41)*1.1,1))</f>
        <v>5.1999999999999993</v>
      </c>
      <c r="L46" s="67">
        <f>IF(E53="нет","-",AB61)</f>
        <v>48.999999999999993</v>
      </c>
      <c r="M46" s="184" t="str">
        <f>IF(E53="нет","-",IF(E45=1,"уменьш. Z до","уменьш. U до"))</f>
        <v>уменьш. Z до</v>
      </c>
      <c r="N46" s="75">
        <f>IF(E53="нет","-",AB60*IF(E45=1,1,2*E41))</f>
        <v>4.6638591982858957</v>
      </c>
      <c r="O46" s="188" t="str">
        <f>IF(E45=1,"Z -&gt; ","U -&gt; ")</f>
        <v xml:space="preserve">Z -&gt; </v>
      </c>
      <c r="P46" s="13">
        <v>0</v>
      </c>
      <c r="Q46" s="11">
        <v>0</v>
      </c>
      <c r="R46" s="14">
        <v>0</v>
      </c>
      <c r="S46" s="151" t="str">
        <f>IF(AND(ISNUMBER(P46),ISNUMBER(Q46),ISNUMBER(R46)),"","Err")</f>
        <v/>
      </c>
      <c r="T46" s="109"/>
      <c r="U46" s="44"/>
      <c r="V46" s="43" t="s">
        <v>109</v>
      </c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122"/>
      <c r="AK46" s="123"/>
    </row>
    <row r="47" spans="1:37" ht="15.75" thickBot="1" x14ac:dyDescent="0.3">
      <c r="A47" s="17"/>
      <c r="B47" s="46">
        <v>4</v>
      </c>
      <c r="C47" s="43" t="s">
        <v>494</v>
      </c>
      <c r="D47" s="47" t="s">
        <v>56</v>
      </c>
      <c r="E47" s="54" t="str">
        <f>IF(AND(ABS(E26)&gt;0,ABS(E26)&lt;ABS(E19/(1-TAN(RADIANS(E27))/TAN(RADIANS(E21)))),E27&gt;=1,E27&lt;=89,E22&lt;E27),"есть","нет")</f>
        <v>есть</v>
      </c>
      <c r="F47" s="122"/>
      <c r="G47" s="566"/>
      <c r="H47" s="44"/>
      <c r="I47" s="619" t="s">
        <v>165</v>
      </c>
      <c r="J47" s="17"/>
      <c r="K47" s="155">
        <f>IF(E53="нет","-",ROUNDUP(AC60*IF(E45=1,1,2*E41)*1.1,1))</f>
        <v>4.6999999999999993</v>
      </c>
      <c r="L47" s="69">
        <f>IF(E53="нет","-",AC61)</f>
        <v>71</v>
      </c>
      <c r="M47" s="185" t="str">
        <f>IF(E53="нет","-",IF(E45=1,"уменьш. Z до","уменьш. U до"))</f>
        <v>уменьш. Z до</v>
      </c>
      <c r="N47" s="77">
        <f>IF(E53="нет","-",AC60*IF(E45=1,1,2*E41))</f>
        <v>4.2020849479340852</v>
      </c>
      <c r="O47" s="189" t="str">
        <f>IF(E45=1,"Z -&gt; ","U -&gt; ")</f>
        <v xml:space="preserve">Z -&gt; </v>
      </c>
      <c r="P47" s="13">
        <v>0</v>
      </c>
      <c r="Q47" s="11">
        <v>0</v>
      </c>
      <c r="R47" s="14">
        <v>0</v>
      </c>
      <c r="S47" s="151" t="str">
        <f>IF(AND(ISNUMBER(P47),ISNUMBER(Q47),ISNUMBER(R47)),"","Err")</f>
        <v/>
      </c>
      <c r="T47" s="109"/>
      <c r="U47" s="44"/>
      <c r="V47" s="43"/>
      <c r="W47" s="53">
        <v>1</v>
      </c>
      <c r="X47" s="53">
        <v>2</v>
      </c>
      <c r="Y47" s="53">
        <v>3</v>
      </c>
      <c r="Z47" s="53">
        <v>4</v>
      </c>
      <c r="AA47" s="53">
        <v>5</v>
      </c>
      <c r="AB47" s="53">
        <v>6</v>
      </c>
      <c r="AC47" s="53">
        <v>7</v>
      </c>
      <c r="AD47" s="53">
        <v>8</v>
      </c>
      <c r="AE47" s="53">
        <v>9</v>
      </c>
      <c r="AF47" s="53">
        <v>10</v>
      </c>
      <c r="AG47" s="53">
        <v>11</v>
      </c>
      <c r="AH47" s="43"/>
      <c r="AI47" s="43"/>
      <c r="AJ47" s="122"/>
      <c r="AK47" s="123"/>
    </row>
    <row r="48" spans="1:37" ht="15" customHeight="1" x14ac:dyDescent="0.25">
      <c r="A48" s="17"/>
      <c r="B48" s="46">
        <v>5</v>
      </c>
      <c r="C48" s="43" t="s">
        <v>495</v>
      </c>
      <c r="D48" s="47" t="s">
        <v>56</v>
      </c>
      <c r="E48" s="158" t="str">
        <f>IF(E47="есть",IF(ABS(TAN(RADIANS(E21))/(TAN(RADIANS(E21))-TAN(RADIANS(E27))))-(E26/E19)&gt;=0.06,"есть","нет"),"нет")</f>
        <v>есть</v>
      </c>
      <c r="F48" s="122"/>
      <c r="G48" s="566"/>
      <c r="H48" s="44"/>
      <c r="I48" s="17"/>
      <c r="J48" s="17"/>
      <c r="K48" s="17"/>
      <c r="L48" s="43"/>
      <c r="M48" s="44"/>
      <c r="N48" s="44"/>
      <c r="O48" s="44"/>
      <c r="P48" s="44"/>
      <c r="Q48" s="336"/>
      <c r="R48" s="336"/>
      <c r="S48" s="122"/>
      <c r="T48" s="109"/>
      <c r="U48" s="44"/>
      <c r="V48" s="43" t="s">
        <v>21</v>
      </c>
      <c r="W48" s="97">
        <f>W43</f>
        <v>0</v>
      </c>
      <c r="X48" s="97">
        <f>IF(AND(Z33=1,W36&gt;=Z37,W36&lt;Z38,ABS(X43)&gt;=ABS(Z35)),Z35,X43)</f>
        <v>1.7660444431189779</v>
      </c>
      <c r="Y48" s="97">
        <f>IF(AND(Z33=1,W36&lt;Z37,ABS(Y43)&gt;=ABS(Z35)),Y43,X48)</f>
        <v>1.8222810720214766</v>
      </c>
      <c r="Z48" s="97">
        <f>IF(Z33=1,IF(ABS(Z35)&lt;=ABS(Y43),Z43,AA43),X48)</f>
        <v>1</v>
      </c>
      <c r="AA48" s="97">
        <f>IF(AND(Z33=1,OR(W36&lt;Z37,W36=Z37,AND(W36&gt;Z37,W36&lt;Z38))),AB43,X48)</f>
        <v>1</v>
      </c>
      <c r="AB48" s="97">
        <f>IF(AND(Z33=1,OR(W36&lt;Z37,W36=Z37,AND(W36&gt;Z37,W36&lt;Z38))),AC43,X48)</f>
        <v>2.2161291728892936</v>
      </c>
      <c r="AC48" s="97">
        <f>AD43</f>
        <v>3.261454315515766</v>
      </c>
      <c r="AD48" s="97">
        <f>IF(W38=0+IF(E29=1,0,180),AC48,AE43)</f>
        <v>1.2678571428571432</v>
      </c>
      <c r="AE48" s="97">
        <f>IF(ABS(AG43)&lt;ABS(AH43),AF43,AH43)</f>
        <v>-0.54411906293519019</v>
      </c>
      <c r="AF48" s="97">
        <f>IF(ABS(AG43)&lt;ABS(AH43),AG43,AH43)</f>
        <v>-1.1232568334324384</v>
      </c>
      <c r="AG48" s="97">
        <f>AI43</f>
        <v>0</v>
      </c>
      <c r="AH48" s="43"/>
      <c r="AI48" s="43"/>
      <c r="AJ48" s="122"/>
      <c r="AK48" s="123"/>
    </row>
    <row r="49" spans="1:37" ht="15.75" customHeight="1" thickBot="1" x14ac:dyDescent="0.3">
      <c r="A49" s="17"/>
      <c r="B49" s="46"/>
      <c r="C49" s="43"/>
      <c r="D49" s="54"/>
      <c r="E49" s="158"/>
      <c r="F49" s="122"/>
      <c r="G49" s="566"/>
      <c r="H49" s="44"/>
      <c r="I49" s="695" t="s">
        <v>158</v>
      </c>
      <c r="J49" s="17"/>
      <c r="K49" s="121" t="s">
        <v>168</v>
      </c>
      <c r="L49" s="120">
        <f>IF(OR(E43="",E43=0),0.1*E41,E43)</f>
        <v>0.1</v>
      </c>
      <c r="M49" s="337" t="s">
        <v>159</v>
      </c>
      <c r="N49" s="44"/>
      <c r="O49" s="44"/>
      <c r="P49" s="44"/>
      <c r="Q49" s="336"/>
      <c r="R49" s="336"/>
      <c r="S49" s="122"/>
      <c r="T49" s="109"/>
      <c r="U49" s="44"/>
      <c r="V49" s="43" t="s">
        <v>45</v>
      </c>
      <c r="W49" s="97">
        <f>W44</f>
        <v>0</v>
      </c>
      <c r="X49" s="97">
        <f>IF(AND(Z33=1,W36&gt;=Z37,W36&lt;Z38,ABS(X43)&gt;=ABS(Z35)),X48*TAN(RADIANS(W36)),X44)</f>
        <v>-0.64278760968653925</v>
      </c>
      <c r="Y49" s="97">
        <f>IF(AND(Z33=1,W36&lt;Z37,ABS(Y43)&gt;=ABS(Z35)),Y44,X49)</f>
        <v>-0.48827874163067519</v>
      </c>
      <c r="Z49" s="97">
        <f>IF(Z33=1,IF(ABS(Z35)&lt;=ABS(Y43),IF(W36&lt;=Z37,Z44,X49),IF(X49*POWER(-1,AC33)&gt;AA44*POWER(-1,AC33),X49,AA44)),X49)</f>
        <v>-0.2679491924311227</v>
      </c>
      <c r="AA49" s="97">
        <f>IF(AND(Z33=1,OR(W36&lt;Z37,W36=Z37,AND(W36&gt;Z37,W36&lt;Z38))),AB44,X49)</f>
        <v>0.2679491924311227</v>
      </c>
      <c r="AB49" s="97">
        <f>IF(AND(Z33=1,OR(W36&lt;Z37,W36=Z37,AND(W36&gt;Z37,W36&lt;Z38))),AC44,X49)</f>
        <v>0.59381002219873813</v>
      </c>
      <c r="AC49" s="97">
        <f>AD44</f>
        <v>3.465817247553153</v>
      </c>
      <c r="AD49" s="97">
        <f>AE44</f>
        <v>4</v>
      </c>
      <c r="AE49" s="97">
        <f>IF(ABS(AG43)&lt;ABS(AH43),AF44,AH44)</f>
        <v>4</v>
      </c>
      <c r="AF49" s="97">
        <f>IF(ABS(AG43)&lt;ABS(AH43),AG44,AH44)</f>
        <v>2.4088320528055176</v>
      </c>
      <c r="AG49" s="97">
        <f>AI44</f>
        <v>0</v>
      </c>
      <c r="AH49" s="43"/>
      <c r="AI49" s="43"/>
      <c r="AJ49" s="122"/>
      <c r="AK49" s="123"/>
    </row>
    <row r="50" spans="1:37" x14ac:dyDescent="0.25">
      <c r="A50" s="17"/>
      <c r="B50" s="46">
        <v>6</v>
      </c>
      <c r="C50" s="43" t="s">
        <v>96</v>
      </c>
      <c r="D50" s="17" t="s">
        <v>56</v>
      </c>
      <c r="E50" s="54" t="str">
        <f>IF(E29=1,"вперед","назад")</f>
        <v>вперед</v>
      </c>
      <c r="F50" s="122"/>
      <c r="G50" s="566"/>
      <c r="H50" s="44"/>
      <c r="I50" s="17"/>
      <c r="J50" s="17"/>
      <c r="K50" s="17"/>
      <c r="L50" s="43"/>
      <c r="M50" s="44"/>
      <c r="N50" s="44"/>
      <c r="O50" s="44"/>
      <c r="P50" s="44"/>
      <c r="Q50" s="336"/>
      <c r="R50" s="336"/>
      <c r="S50" s="122"/>
      <c r="T50" s="109"/>
      <c r="U50" s="44"/>
      <c r="V50" s="43"/>
      <c r="W50" s="43"/>
      <c r="X50" s="43"/>
      <c r="Y50" s="80"/>
      <c r="Z50" s="54"/>
      <c r="AA50" s="54"/>
      <c r="AB50" s="43"/>
      <c r="AC50" s="43"/>
      <c r="AD50" s="43"/>
      <c r="AE50" s="43"/>
      <c r="AF50" s="43"/>
      <c r="AG50" s="43"/>
      <c r="AH50" s="53"/>
      <c r="AI50" s="53"/>
      <c r="AJ50" s="122"/>
      <c r="AK50" s="123"/>
    </row>
    <row r="51" spans="1:37" ht="15.75" customHeight="1" thickBot="1" x14ac:dyDescent="0.3">
      <c r="A51" s="17"/>
      <c r="B51" s="46"/>
      <c r="C51" s="43"/>
      <c r="D51" s="17"/>
      <c r="E51" s="54"/>
      <c r="F51" s="122"/>
      <c r="G51" s="566"/>
      <c r="H51" s="44"/>
      <c r="I51" s="620" t="s">
        <v>163</v>
      </c>
      <c r="J51" s="17"/>
      <c r="K51" s="162">
        <f>ROUNDUP(AD60*IF(E45=1,1,2*L49)*1.1,1)</f>
        <v>4.4000000000000004</v>
      </c>
      <c r="L51" s="117">
        <f>AD61</f>
        <v>90</v>
      </c>
      <c r="M51" s="10" t="str">
        <f>IF(E45=1,"уменьш. Z до","уменьш. U до")</f>
        <v>уменьш. Z до</v>
      </c>
      <c r="N51" s="118">
        <f>AD60*IF(E45=1,1,2*L49)</f>
        <v>4</v>
      </c>
      <c r="O51" s="188" t="str">
        <f>IF(E45=1,"Z -&gt; ","U -&gt; ")</f>
        <v xml:space="preserve">Z -&gt; </v>
      </c>
      <c r="P51" s="13">
        <v>0</v>
      </c>
      <c r="Q51" s="11">
        <v>0</v>
      </c>
      <c r="R51" s="14">
        <v>0</v>
      </c>
      <c r="S51" s="151" t="str">
        <f>IF(AND(ISNUMBER(P51),ISNUMBER(Q51),ISNUMBER(R51)),"","Err")</f>
        <v/>
      </c>
      <c r="T51" s="109"/>
      <c r="U51" s="44"/>
      <c r="V51" s="60" t="s">
        <v>120</v>
      </c>
      <c r="W51" s="97">
        <f>SQRT(POWER(W48,2)+POWER(W49,2))</f>
        <v>0</v>
      </c>
      <c r="X51" s="97">
        <f>SQRT(POWER(X48,2)+POWER(X49,2))</f>
        <v>1.8793852415718166</v>
      </c>
      <c r="Y51" s="97">
        <f>SQRT(POWER(Y48,2)+POWER(Y49,2))</f>
        <v>1.8865641878759858</v>
      </c>
      <c r="Z51" s="97">
        <f>SQRT(POWER(Z48,2)+POWER(Z49,2))</f>
        <v>1.035276180410083</v>
      </c>
      <c r="AA51" s="97">
        <f>SQRT(POWER(AA48,2)+POWER(AA49,2))</f>
        <v>1.035276180410083</v>
      </c>
      <c r="AB51" s="97">
        <f t="shared" ref="AB51:AG51" si="2">SQRT(POWER(AB48,2)+POWER(AB49,2))</f>
        <v>2.2943057454041842</v>
      </c>
      <c r="AC51" s="97">
        <f>SQRT(POWER(AC48,2)+POWER(AC49,2))</f>
        <v>4.7590937630638592</v>
      </c>
      <c r="AD51" s="97">
        <f t="shared" si="2"/>
        <v>4.1961246090522479</v>
      </c>
      <c r="AE51" s="97">
        <f>SQRT(POWER(AE48,2)+POWER(AE49,2))</f>
        <v>4.0368385593988609</v>
      </c>
      <c r="AF51" s="97">
        <f t="shared" si="2"/>
        <v>2.6578520975546991</v>
      </c>
      <c r="AG51" s="97">
        <f t="shared" si="2"/>
        <v>0</v>
      </c>
      <c r="AH51" s="17"/>
      <c r="AI51" s="17"/>
      <c r="AJ51" s="122"/>
      <c r="AK51" s="123"/>
    </row>
    <row r="52" spans="1:37" x14ac:dyDescent="0.25">
      <c r="A52" s="17"/>
      <c r="B52" s="46">
        <v>7</v>
      </c>
      <c r="C52" s="43" t="s">
        <v>558</v>
      </c>
      <c r="D52" s="663" t="s">
        <v>56</v>
      </c>
      <c r="E52" s="54" t="str">
        <f>IF(OR(E24=0,((E18/TAN(RADIANS(E21)))+E19)&lt;E18/TAN(RADIANS(E34))),"нет","есть")</f>
        <v>есть</v>
      </c>
      <c r="F52" s="122"/>
      <c r="G52" s="566"/>
      <c r="H52" s="44"/>
      <c r="I52" s="74"/>
      <c r="J52" s="17"/>
      <c r="K52" s="17"/>
      <c r="L52" s="43"/>
      <c r="M52" s="43"/>
      <c r="N52" s="43"/>
      <c r="O52" s="43"/>
      <c r="P52" s="43"/>
      <c r="Q52" s="80"/>
      <c r="R52" s="80"/>
      <c r="S52" s="122"/>
      <c r="T52" s="109"/>
      <c r="U52" s="44"/>
      <c r="V52" s="60" t="s">
        <v>121</v>
      </c>
      <c r="W52" s="98">
        <f>IF(W48=0,90,DEGREES(ATAN(W49/W48)))+IF(W49&gt;=0,IF(W48&gt;=0,0,180),IF(W48&gt;0,360,180))</f>
        <v>90</v>
      </c>
      <c r="X52" s="98">
        <f t="shared" ref="X52:AG52" si="3">IF(X48=0,90,DEGREES(ATAN(X49/X48)))+IF(X49&gt;=0,IF(X48&gt;=0,0,180),IF(X48&gt;0,360,180))</f>
        <v>340</v>
      </c>
      <c r="Y52" s="98">
        <f t="shared" si="3"/>
        <v>345</v>
      </c>
      <c r="Z52" s="98">
        <f t="shared" si="3"/>
        <v>345</v>
      </c>
      <c r="AA52" s="98">
        <f t="shared" si="3"/>
        <v>14.999999999999998</v>
      </c>
      <c r="AB52" s="98">
        <f t="shared" si="3"/>
        <v>14.999999999999998</v>
      </c>
      <c r="AC52" s="98">
        <f t="shared" si="3"/>
        <v>46.740012052889256</v>
      </c>
      <c r="AD52" s="98">
        <f t="shared" si="3"/>
        <v>72.413244358301839</v>
      </c>
      <c r="AE52" s="98">
        <f t="shared" si="3"/>
        <v>97.746385019510413</v>
      </c>
      <c r="AF52" s="98">
        <f t="shared" si="3"/>
        <v>114.99999999999999</v>
      </c>
      <c r="AG52" s="98">
        <f t="shared" si="3"/>
        <v>90</v>
      </c>
      <c r="AH52" s="17"/>
      <c r="AI52" s="17"/>
      <c r="AJ52" s="122"/>
      <c r="AK52" s="123"/>
    </row>
    <row r="53" spans="1:37" ht="15" customHeight="1" x14ac:dyDescent="0.25">
      <c r="A53" s="17"/>
      <c r="B53" s="46">
        <v>8</v>
      </c>
      <c r="C53" s="43" t="s">
        <v>557</v>
      </c>
      <c r="D53" s="663" t="s">
        <v>56</v>
      </c>
      <c r="E53" s="54" t="str">
        <f>IF(E52="есть",IF((E18/TAN(RADIANS(E34))-E18/TAN(RADIANS(E21)))&lt;=0.7*E19,"есть","нет"),"нет")</f>
        <v>есть</v>
      </c>
      <c r="F53" s="122"/>
      <c r="G53" s="566"/>
      <c r="H53" s="44"/>
      <c r="I53" s="489" t="s">
        <v>514</v>
      </c>
      <c r="J53" s="4"/>
      <c r="K53" s="4"/>
      <c r="L53" s="4"/>
      <c r="M53" s="4"/>
      <c r="N53" s="4"/>
      <c r="O53" s="4"/>
      <c r="P53" s="4"/>
      <c r="Q53" s="4"/>
      <c r="R53" s="4"/>
      <c r="S53" s="122"/>
      <c r="T53" s="109"/>
      <c r="U53" s="44"/>
      <c r="V53" s="17"/>
      <c r="W53" s="17"/>
      <c r="X53" s="17"/>
      <c r="Y53" s="17"/>
      <c r="Z53" s="99"/>
      <c r="AA53" s="64"/>
      <c r="AB53" s="100"/>
      <c r="AC53" s="64"/>
      <c r="AD53" s="64"/>
      <c r="AE53" s="17"/>
      <c r="AF53" s="17"/>
      <c r="AG53" s="17"/>
      <c r="AH53" s="43"/>
      <c r="AI53" s="43"/>
      <c r="AJ53" s="122"/>
      <c r="AK53" s="123"/>
    </row>
    <row r="54" spans="1:37" ht="15" customHeight="1" thickBot="1" x14ac:dyDescent="0.3">
      <c r="A54" s="17"/>
      <c r="B54" s="48"/>
      <c r="C54" s="48"/>
      <c r="D54" s="48"/>
      <c r="E54" s="48"/>
      <c r="F54" s="122"/>
      <c r="G54" s="566"/>
      <c r="H54" s="44"/>
      <c r="I54" s="111"/>
      <c r="J54" s="112"/>
      <c r="K54" s="112"/>
      <c r="L54" s="112"/>
      <c r="M54" s="112"/>
      <c r="N54" s="112"/>
      <c r="O54" s="112"/>
      <c r="P54" s="112"/>
      <c r="Q54" s="113"/>
      <c r="R54" s="113"/>
      <c r="S54" s="122"/>
      <c r="T54" s="109"/>
      <c r="U54" s="44"/>
      <c r="V54" s="17"/>
      <c r="W54" s="17"/>
      <c r="X54" s="17"/>
      <c r="Y54" s="17"/>
      <c r="Z54" s="99"/>
      <c r="AA54" s="64"/>
      <c r="AB54" s="64"/>
      <c r="AC54" s="64"/>
      <c r="AD54" s="64"/>
      <c r="AE54" s="17"/>
      <c r="AF54" s="17"/>
      <c r="AG54" s="43"/>
      <c r="AH54" s="43"/>
      <c r="AI54" s="43"/>
      <c r="AJ54" s="122"/>
      <c r="AK54" s="123"/>
    </row>
    <row r="55" spans="1:37" ht="15" customHeight="1" x14ac:dyDescent="0.25">
      <c r="A55" s="17"/>
      <c r="B55" s="43"/>
      <c r="C55" s="43"/>
      <c r="D55" s="43"/>
      <c r="E55" s="43"/>
      <c r="F55" s="122"/>
      <c r="G55" s="566"/>
      <c r="H55" s="44"/>
      <c r="I55" s="114"/>
      <c r="J55" s="115"/>
      <c r="K55" s="115"/>
      <c r="L55" s="115"/>
      <c r="M55" s="115"/>
      <c r="N55" s="142"/>
      <c r="O55" s="142"/>
      <c r="P55" s="142"/>
      <c r="Q55" s="142"/>
      <c r="R55" s="142"/>
      <c r="S55" s="122"/>
      <c r="T55" s="109"/>
      <c r="U55" s="44"/>
      <c r="V55" s="43" t="s">
        <v>112</v>
      </c>
      <c r="W55" s="43"/>
      <c r="X55" s="43"/>
      <c r="Y55" s="43"/>
      <c r="Z55" s="99"/>
      <c r="AA55" s="83"/>
      <c r="AB55" s="83"/>
      <c r="AC55" s="83"/>
      <c r="AD55" s="83"/>
      <c r="AE55" s="43"/>
      <c r="AF55" s="43"/>
      <c r="AG55" s="43"/>
      <c r="AH55" s="43"/>
      <c r="AI55" s="43"/>
      <c r="AJ55" s="122"/>
      <c r="AK55" s="123"/>
    </row>
    <row r="56" spans="1:37" ht="15.75" customHeight="1" x14ac:dyDescent="0.25">
      <c r="A56" s="17"/>
      <c r="B56" s="43"/>
      <c r="C56" s="43"/>
      <c r="D56" s="43"/>
      <c r="E56" s="122"/>
      <c r="F56" s="122"/>
      <c r="G56" s="566"/>
      <c r="H56" s="44"/>
      <c r="I56" s="738" t="s">
        <v>153</v>
      </c>
      <c r="J56" s="114"/>
      <c r="K56" s="124" t="str">
        <f>IF(OR(ABS(K62) &gt; 5,ABS(K64) &gt; 5,ABS(K66) &gt; 5,ABS(K68) &gt; 5,ABS(K70) &gt; 5,IF(K71&lt;&gt;"-",ABS(K72)&gt;5,0),IF(K73&lt;&gt;"-",ABS(K74)&gt;5,0),IF(K75&lt;&gt;"-",ABS(K76)&gt;5,0),IF(K82&lt;&gt;"-",ABS(K83)&gt;10,0)),"","Норма")</f>
        <v>Норма</v>
      </c>
      <c r="L56" s="124" t="str">
        <f>IF(OR(ABS(L62) &gt; 5,ABS(L64) &gt; 5,ABS(L66) &gt; 5,ABS(L68) &gt; 5,ABS(L70) &gt; 5,IF(L71&lt;&gt;"-",ABS(L72)&gt;5,0),IF(L73&lt;&gt;"-",ABS(L74)&gt;5,0),IF(L75&lt;&gt;"-",ABS(L76)&gt;5,0),IF(L82&lt;&gt;"-",ABS(L83)&gt;10,0)),"","Норма")</f>
        <v>Норма</v>
      </c>
      <c r="M56" s="128" t="str">
        <f>IF(OR(ABS(M62) &gt; 5,ABS(M64) &gt; 5,ABS(M66) &gt; 5,ABS(M68) &gt; 5,ABS(M70) &gt; 5,IF(M71&lt;&gt;"-",ABS(M72)&gt;5,0),IF(M73&lt;&gt;"-",ABS(M74)&gt;5,0),IF(M75&lt;&gt;"-",ABS(M76)&gt;5,0),IF(M82&lt;&gt;"-",ABS(M83)&gt;10,0)),"","Норма")</f>
        <v>Норма</v>
      </c>
      <c r="N56" s="142"/>
      <c r="O56" s="142"/>
      <c r="P56" s="142"/>
      <c r="Q56" s="142"/>
      <c r="R56" s="142"/>
      <c r="S56" s="122"/>
      <c r="T56" s="109"/>
      <c r="U56" s="44"/>
      <c r="V56" s="43"/>
      <c r="W56" s="53">
        <v>1</v>
      </c>
      <c r="X56" s="53">
        <v>2</v>
      </c>
      <c r="Y56" s="53">
        <v>3</v>
      </c>
      <c r="Z56" s="53">
        <v>4</v>
      </c>
      <c r="AA56" s="53">
        <v>5</v>
      </c>
      <c r="AB56" s="53">
        <v>6</v>
      </c>
      <c r="AC56" s="53">
        <v>7</v>
      </c>
      <c r="AD56" s="53">
        <v>8</v>
      </c>
      <c r="AE56" s="53">
        <v>9</v>
      </c>
      <c r="AF56" s="53"/>
      <c r="AG56" s="43"/>
      <c r="AH56" s="43"/>
      <c r="AI56" s="43"/>
      <c r="AJ56" s="122"/>
      <c r="AK56" s="123"/>
    </row>
    <row r="57" spans="1:37" ht="15.75" customHeight="1" x14ac:dyDescent="0.25">
      <c r="A57" s="17"/>
      <c r="B57" s="43"/>
      <c r="C57" s="43"/>
      <c r="D57" s="43"/>
      <c r="E57" s="43"/>
      <c r="F57" s="122"/>
      <c r="G57" s="566"/>
      <c r="H57" s="44"/>
      <c r="I57" s="738"/>
      <c r="J57" s="125"/>
      <c r="K57" s="139" t="str">
        <f>IF(K56="Норма","","Погрешность")</f>
        <v/>
      </c>
      <c r="L57" s="140" t="str">
        <f>IF(L56="Норма","","Погрешность")</f>
        <v/>
      </c>
      <c r="M57" s="138" t="str">
        <f>IF(M56="Норма","","Погрешность")</f>
        <v/>
      </c>
      <c r="N57" s="142"/>
      <c r="O57" s="142"/>
      <c r="P57" s="142"/>
      <c r="Q57" s="142"/>
      <c r="R57" s="142"/>
      <c r="S57" s="122"/>
      <c r="T57" s="109"/>
      <c r="U57" s="44"/>
      <c r="V57" s="43" t="s">
        <v>21</v>
      </c>
      <c r="W57" s="97">
        <f>ROUNDDOWN(SQRT(POWER(X48,2)+POWER(X49,2))*0.9,1)*COS(RADIANS(W36))</f>
        <v>1.5035081932574537</v>
      </c>
      <c r="X57" s="97">
        <f>IF(AND(Z34=1,(DEGREES(ATAN(Z49/Z48))+180*AC33)&lt;Z38),Z35,IF(W36&gt;=Z38,W57,W34))</f>
        <v>1</v>
      </c>
      <c r="Y57" s="97">
        <f>IF(AND(ABS(Z35)&lt;=ABS(W34/(1-TAN(RADIANS(Z38))/TAN(RADIANS(W35)))),Z38&gt;=W36,Z34=1,(DEGREES(ATAN(Z49/Z48))+180*AC33)&lt;Z38),ROUNDDOWN((AA48+0.75*(AB48-AA48))/COS(RADIANS(Z38)),1)*COS(RADIANS(Z38)),X57)</f>
        <v>1.8352590699492297</v>
      </c>
      <c r="Z57" s="97">
        <f>IF(AND(X44*AE44&lt;=0,OR(ABS(W34)&lt;=ABS(Z35),Z34=0)),W34,(W34*TAN(RADIANS(W35))/(TAN(RADIANS(W35))-TAN(RADIANS(ROUND(DEGREES(ATAN(AB49/AB48))+3,0))))))</f>
        <v>2.2682451634636815</v>
      </c>
      <c r="AA57" s="97">
        <f>W34*POWER(SIN(RADIANS(W35)),2)+COS(RADIANS(W35))*SQRT(POWER(ROUNDDOWN(0.9*AC51,IF(AC51&lt;1,2,1)),2)-POWER(W34,2)*POWER(SIN(RADIANS(W35)),2))</f>
        <v>3.0506891802054921</v>
      </c>
      <c r="AB57" s="97">
        <f>IF(AC36=0,AD57,W33*(1-TAN(RADIANS(W38))/TAN(RADIANS(AC34)))/(TAN(RADIANS(ROUND(DEGREES(ATAN(AC49/AC48))+2,0)))-TAN(RADIANS(W38))))</f>
        <v>3.0597669369758913</v>
      </c>
      <c r="AC57" s="97">
        <f>IF(AC36=0,AD57,W33*(1-TAN(RADIANS(W38))/TAN(RADIANS(AC34)))/(TAN(RADIANS(ROUNDDOWN(AC34-1,0)))-TAN(RADIANS(W38))))</f>
        <v>1.368065041371098</v>
      </c>
      <c r="AD57" s="97">
        <f>IF(AD48*AE48&lt;0,0,W33/(TAN(RADIANS(ROUNDDOWN(DEGREES(ATAN(AE49/AE48))+0.5*(DEGREES(ATAN(AD49/AD48))-DEGREES(ATAN(AE49/AE48))),0)))))</f>
        <v>0</v>
      </c>
      <c r="AE57" s="97">
        <f>ROUNDDOWN(SQRT(POWER(AF48,2)+POWER(AF49,2))*0.9,1)*COS(RADIANS(W37))</f>
        <v>-0.97202200200360833</v>
      </c>
      <c r="AF57" s="17"/>
      <c r="AG57" s="43"/>
      <c r="AH57" s="43"/>
      <c r="AI57" s="43"/>
      <c r="AJ57" s="122"/>
      <c r="AK57" s="123"/>
    </row>
    <row r="58" spans="1:37" ht="15.75" customHeight="1" thickBot="1" x14ac:dyDescent="0.3">
      <c r="A58" s="17"/>
      <c r="B58" s="43"/>
      <c r="C58" s="43"/>
      <c r="D58" s="43"/>
      <c r="E58" s="43"/>
      <c r="F58" s="122"/>
      <c r="G58" s="566"/>
      <c r="H58" s="44"/>
      <c r="I58" s="17"/>
      <c r="J58" s="17"/>
      <c r="K58" s="17"/>
      <c r="L58" s="43"/>
      <c r="M58" s="43"/>
      <c r="N58" s="143"/>
      <c r="O58" s="143"/>
      <c r="P58" s="143"/>
      <c r="Q58" s="143"/>
      <c r="R58" s="143"/>
      <c r="S58" s="122"/>
      <c r="T58" s="123"/>
      <c r="U58" s="44"/>
      <c r="V58" s="43" t="s">
        <v>45</v>
      </c>
      <c r="W58" s="97">
        <f>W57*TAN(RADIANS(W36))</f>
        <v>-0.54723222932107007</v>
      </c>
      <c r="X58" s="97">
        <f>IF(AND(Z34=1,(DEGREES(ATAN(Z49/Z48))+180*AC33)&lt;Z38),IF(Z49*AA49&lt;=0,0,X57*TAN(RADIANS(ROUNDUP(DEGREES(ATAN(Z49/Z48))+2,0)))),IF(W36&gt;=Z38,W58,0))</f>
        <v>0</v>
      </c>
      <c r="Y58" s="97">
        <f>IF(AND(ABS(Z35)&lt;=ABS(W34/(1-TAN(RADIANS(Z38))/TAN(RADIANS(W35)))),Z38&gt;=W36,Z34=1,(DEGREES(ATAN(Z49/Z48))+180*AC33)&lt;Z38),Y57*TAN(RADIANS(Z38)),X58)</f>
        <v>0.49175618569478941</v>
      </c>
      <c r="Z58" s="97">
        <f>IF(AND(X44*AE44&lt;=0,OR(ABS(W34)&lt;=ABS(Z35),Z34=0)),0,(Z57*TAN(RADIANS(ROUND(DEGREES(ATAN(AB49/AB48))+3,0)))))</f>
        <v>0.73699752949437825</v>
      </c>
      <c r="AA58" s="97">
        <f>TAN(RADIANS(W35))*(AA57-W34)</f>
        <v>2.8867447974798774</v>
      </c>
      <c r="AB58" s="97">
        <f>IF(AC36=0,AD58,W33+TAN(RADIANS(W38))*(AB57-W33/TAN(RADIANS(AC34))))</f>
        <v>3.519859217756462</v>
      </c>
      <c r="AC58" s="97">
        <f>IF(AC36=0,AD58,W33+TAN(RADIANS(W38))*(AC57-W33/TAN(RADIANS(AC34))))</f>
        <v>3.9731493745179658</v>
      </c>
      <c r="AD58" s="97">
        <f>AE49</f>
        <v>4</v>
      </c>
      <c r="AE58" s="97">
        <f>AE57*TAN(RADIANS(W37))</f>
        <v>2.0845079101842949</v>
      </c>
      <c r="AF58" s="17"/>
      <c r="AG58" s="43"/>
      <c r="AH58" s="43"/>
      <c r="AI58" s="43"/>
      <c r="AJ58" s="122"/>
      <c r="AK58" s="123"/>
    </row>
    <row r="59" spans="1:37" ht="15.75" customHeight="1" x14ac:dyDescent="0.25">
      <c r="A59" s="17"/>
      <c r="B59" s="43"/>
      <c r="C59" s="43"/>
      <c r="D59" s="43"/>
      <c r="E59" s="43"/>
      <c r="F59" s="122"/>
      <c r="G59" s="566"/>
      <c r="H59" s="44"/>
      <c r="I59" s="721" t="s">
        <v>0</v>
      </c>
      <c r="J59" s="739"/>
      <c r="K59" s="737" t="s">
        <v>124</v>
      </c>
      <c r="L59" s="725"/>
      <c r="M59" s="726"/>
      <c r="N59" s="78"/>
      <c r="O59" s="116" t="s">
        <v>154</v>
      </c>
      <c r="P59" s="78"/>
      <c r="Q59" s="18"/>
      <c r="R59" s="143"/>
      <c r="S59" s="122"/>
      <c r="T59" s="123"/>
      <c r="U59" s="44"/>
      <c r="V59" s="17"/>
      <c r="W59" s="17"/>
      <c r="X59" s="54"/>
      <c r="Y59" s="17"/>
      <c r="Z59" s="17"/>
      <c r="AA59" s="17"/>
      <c r="AB59" s="17"/>
      <c r="AC59" s="17"/>
      <c r="AD59" s="43"/>
      <c r="AE59" s="43"/>
      <c r="AF59" s="17"/>
      <c r="AG59" s="43"/>
      <c r="AH59" s="43"/>
      <c r="AI59" s="43"/>
      <c r="AJ59" s="122"/>
      <c r="AK59" s="123"/>
    </row>
    <row r="60" spans="1:37" ht="15" customHeight="1" thickBot="1" x14ac:dyDescent="0.3">
      <c r="A60" s="17"/>
      <c r="B60" s="17"/>
      <c r="C60" s="17"/>
      <c r="D60" s="17"/>
      <c r="E60" s="17"/>
      <c r="F60" s="122"/>
      <c r="G60" s="566"/>
      <c r="H60" s="44"/>
      <c r="I60" s="740"/>
      <c r="J60" s="741"/>
      <c r="K60" s="338" t="s">
        <v>125</v>
      </c>
      <c r="L60" s="338" t="s">
        <v>126</v>
      </c>
      <c r="M60" s="339" t="s">
        <v>127</v>
      </c>
      <c r="N60" s="144"/>
      <c r="O60" s="116" t="s">
        <v>155</v>
      </c>
      <c r="P60" s="144"/>
      <c r="Q60" s="18"/>
      <c r="R60" s="143"/>
      <c r="S60" s="122"/>
      <c r="T60" s="123"/>
      <c r="U60" s="44"/>
      <c r="V60" s="60" t="s">
        <v>120</v>
      </c>
      <c r="W60" s="97">
        <f>SQRT(POWER(W57,2)+POWER(W58,2))</f>
        <v>1.6000000000000003</v>
      </c>
      <c r="X60" s="97">
        <f t="shared" ref="X60:AE60" si="4">SQRT(POWER(X57,2)+POWER(X58,2))</f>
        <v>1</v>
      </c>
      <c r="Y60" s="97">
        <f>SQRT(POWER(Y57,2)+POWER(Y58,2))</f>
        <v>1.9</v>
      </c>
      <c r="Z60" s="97">
        <f>SQRT(POWER(Z57,2)+POWER(Z58,2))</f>
        <v>2.3849741046932142</v>
      </c>
      <c r="AA60" s="97">
        <f>SQRT(POWER(AA57,2)+POWER(AA58,2))</f>
        <v>4.1999999999999993</v>
      </c>
      <c r="AB60" s="97">
        <f t="shared" si="4"/>
        <v>4.6638591982858957</v>
      </c>
      <c r="AC60" s="97">
        <f t="shared" si="4"/>
        <v>4.2020849479340852</v>
      </c>
      <c r="AD60" s="97">
        <f t="shared" si="4"/>
        <v>4</v>
      </c>
      <c r="AE60" s="97">
        <f t="shared" si="4"/>
        <v>2.2999999999999998</v>
      </c>
      <c r="AF60" s="17"/>
      <c r="AG60" s="17"/>
      <c r="AH60" s="17"/>
      <c r="AI60" s="17"/>
      <c r="AJ60" s="122"/>
      <c r="AK60" s="123"/>
    </row>
    <row r="61" spans="1:37" ht="15" customHeight="1" x14ac:dyDescent="0.25">
      <c r="A61" s="17"/>
      <c r="B61" s="17"/>
      <c r="C61" s="17"/>
      <c r="D61" s="17"/>
      <c r="E61" s="17"/>
      <c r="F61" s="122"/>
      <c r="G61" s="566"/>
      <c r="H61" s="44"/>
      <c r="I61" s="730" t="s">
        <v>47</v>
      </c>
      <c r="J61" s="731"/>
      <c r="K61" s="340">
        <f>ABS(IF(OR(P33="",P33=0),N33,P33)*SIN(RADIANS(L33))/IF(E45=2,2*E41,1))</f>
        <v>4</v>
      </c>
      <c r="L61" s="340">
        <f>ABS(IF(OR(Q33="",Q33=0),N33,Q33)*SIN(RADIANS(L33))/IF(E45=2,2*E41,1))</f>
        <v>4</v>
      </c>
      <c r="M61" s="341">
        <f>ABS(IF(OR(R33="",R33=0),N33,R33)*SIN(RADIANS(L33))/IF(E45=2,2*E41,1))</f>
        <v>4</v>
      </c>
      <c r="N61" s="145"/>
      <c r="O61" s="116" t="s">
        <v>156</v>
      </c>
      <c r="P61" s="53"/>
      <c r="Q61" s="53"/>
      <c r="R61" s="143"/>
      <c r="S61" s="122"/>
      <c r="T61" s="123"/>
      <c r="U61" s="44"/>
      <c r="V61" s="60" t="s">
        <v>121</v>
      </c>
      <c r="W61" s="98">
        <f>IF(W57=0,90,DEGREES(ATAN(W58/W57)))+IF(W58&gt;=0,IF(W57&gt;=0,0,180),IF(W57&gt;0,360,180))</f>
        <v>340</v>
      </c>
      <c r="X61" s="98">
        <f t="shared" ref="X61:AE61" si="5">IF(X57=0,90,DEGREES(ATAN(X58/X57)))+IF(X58&gt;=0,IF(X57&gt;=0,0,180),IF(X57&gt;0,360,180))</f>
        <v>0</v>
      </c>
      <c r="Y61" s="98">
        <f t="shared" si="5"/>
        <v>14.999999999999998</v>
      </c>
      <c r="Z61" s="98">
        <f t="shared" si="5"/>
        <v>18</v>
      </c>
      <c r="AA61" s="98">
        <f t="shared" si="5"/>
        <v>43.418351242898645</v>
      </c>
      <c r="AB61" s="98">
        <f t="shared" si="5"/>
        <v>48.999999999999993</v>
      </c>
      <c r="AC61" s="98">
        <f t="shared" si="5"/>
        <v>71</v>
      </c>
      <c r="AD61" s="98">
        <f t="shared" si="5"/>
        <v>90</v>
      </c>
      <c r="AE61" s="98">
        <f t="shared" si="5"/>
        <v>114.99999999999999</v>
      </c>
      <c r="AF61" s="17"/>
      <c r="AG61" s="17"/>
      <c r="AH61" s="17"/>
      <c r="AI61" s="17"/>
      <c r="AJ61" s="122"/>
      <c r="AK61" s="123"/>
    </row>
    <row r="62" spans="1:37" ht="15" customHeight="1" x14ac:dyDescent="0.25">
      <c r="A62" s="17"/>
      <c r="B62" s="17"/>
      <c r="C62" s="17"/>
      <c r="D62" s="17"/>
      <c r="E62" s="17"/>
      <c r="F62" s="122"/>
      <c r="G62" s="566"/>
      <c r="H62" s="44"/>
      <c r="I62" s="732" t="s">
        <v>54</v>
      </c>
      <c r="J62" s="733"/>
      <c r="K62" s="584">
        <f>(K61-E18)*100/E18</f>
        <v>0</v>
      </c>
      <c r="L62" s="584">
        <f>(L61-E18)*100/E18</f>
        <v>0</v>
      </c>
      <c r="M62" s="585">
        <f>(M61-E18)*100/E18</f>
        <v>0</v>
      </c>
      <c r="N62" s="172" t="str">
        <f>IF(OR(IF(ISNUMBER(K62),IF(ABS(K62)&gt;5,1,0),0),IF(ISNUMBER(L62),IF(ABS(L62)&gt;5,1,0),0),IF(ISNUMBER(M62),IF(ABS(M62)&gt;5,1,0),0)),"&lt;= Err","")</f>
        <v/>
      </c>
      <c r="O62" s="143"/>
      <c r="P62" s="53"/>
      <c r="Q62" s="53"/>
      <c r="R62" s="143"/>
      <c r="S62" s="122"/>
      <c r="T62" s="123"/>
      <c r="U62" s="44"/>
      <c r="V62" s="17"/>
      <c r="W62" s="17"/>
      <c r="X62" s="17"/>
      <c r="Y62" s="17"/>
      <c r="Z62" s="17"/>
      <c r="AA62" s="17"/>
      <c r="AB62" s="17"/>
      <c r="AC62" s="17"/>
      <c r="AD62" s="17"/>
      <c r="AE62" s="43"/>
      <c r="AF62" s="17"/>
      <c r="AG62" s="17"/>
      <c r="AH62" s="17"/>
      <c r="AI62" s="17"/>
      <c r="AJ62" s="122"/>
      <c r="AK62" s="123"/>
    </row>
    <row r="63" spans="1:37" ht="15.75" customHeight="1" x14ac:dyDescent="0.25">
      <c r="A63" s="17"/>
      <c r="B63" s="17"/>
      <c r="C63" s="17"/>
      <c r="D63" s="17"/>
      <c r="E63" s="17"/>
      <c r="F63" s="122"/>
      <c r="G63" s="566"/>
      <c r="H63" s="44"/>
      <c r="I63" s="734" t="s">
        <v>46</v>
      </c>
      <c r="J63" s="735"/>
      <c r="K63" s="342">
        <f>ABS(IF(OR(P34="",P34=0,P35="",P35=0),N34*COS(RADIANS(L34))-(K35*COS(RADIANS(N35))-N34*COS(RADIANS(L34)))*N34*SIN(RADIANS(L34))/(K35*SIN(RADIANS(N35))-N34*SIN(RADIANS(L34))),P34*COS(RADIANS(L34))-(K35*COS(RADIANS(P35))-P34*COS(RADIANS(L34)))*P34*SIN(RADIANS(L34))/(K35*SIN(RADIANS(P35))-P34*SIN(RADIANS(L34))))/IF(E45=2,2*E41,1))</f>
        <v>2</v>
      </c>
      <c r="L63" s="342">
        <f>ABS(IF(OR(Q34="",Q34=0,Q35="",Q35=0),N34*COS(RADIANS(L34))-(K35*COS(RADIANS(N35))-N34*COS(RADIANS(L34)))*N34*SIN(RADIANS(L34))/(K35*SIN(RADIANS(N35))-N34*SIN(RADIANS(L34))),Q34*COS(RADIANS(L34))-(K35*COS(RADIANS(Q35))-Q34*COS(RADIANS(L34)))*Q34*SIN(RADIANS(L34))/(K35*SIN(RADIANS(Q35))-Q34*SIN(RADIANS(L34))))/IF(E45=2,2*E41,1))</f>
        <v>2</v>
      </c>
      <c r="M63" s="343">
        <f>ABS(IF(OR(R34="",R34=0,R35="",R35=0),N34*COS(RADIANS(L34))-(K35*COS(RADIANS(N35))-N34*COS(RADIANS(L34)))*N34*SIN(RADIANS(L34))/(K35*SIN(RADIANS(N35))-N34*SIN(RADIANS(L34))),R34*COS(RADIANS(L34))-(K35*COS(RADIANS(R35))-R34*COS(RADIANS(L34)))*R34*SIN(RADIANS(L34))/(K35*SIN(RADIANS(R35))-R34*SIN(RADIANS(L34))))/IF(E45=2,2*E41,1))</f>
        <v>2</v>
      </c>
      <c r="N63" s="145"/>
      <c r="O63" s="143"/>
      <c r="P63" s="53"/>
      <c r="Q63" s="53"/>
      <c r="R63" s="143"/>
      <c r="S63" s="122"/>
      <c r="T63" s="123"/>
      <c r="U63" s="44"/>
      <c r="V63" s="43"/>
      <c r="W63" s="83"/>
      <c r="X63" s="64"/>
      <c r="Y63" s="101"/>
      <c r="Z63" s="102"/>
      <c r="AA63" s="102"/>
      <c r="AB63" s="102"/>
      <c r="AC63" s="83"/>
      <c r="AD63" s="83"/>
      <c r="AE63" s="83"/>
      <c r="AF63" s="64"/>
      <c r="AG63" s="17"/>
      <c r="AH63" s="17"/>
      <c r="AI63" s="17"/>
      <c r="AJ63" s="122"/>
      <c r="AK63" s="123"/>
    </row>
    <row r="64" spans="1:37" x14ac:dyDescent="0.25">
      <c r="A64" s="17"/>
      <c r="B64" s="17"/>
      <c r="C64" s="17"/>
      <c r="D64" s="17"/>
      <c r="E64" s="17"/>
      <c r="F64" s="122"/>
      <c r="G64" s="566"/>
      <c r="H64" s="44"/>
      <c r="I64" s="732" t="s">
        <v>55</v>
      </c>
      <c r="J64" s="733"/>
      <c r="K64" s="584">
        <f>(K63-E19)*100/E19</f>
        <v>0</v>
      </c>
      <c r="L64" s="584">
        <f>(L63-E19)*100/E19</f>
        <v>0</v>
      </c>
      <c r="M64" s="585">
        <f>(M63-E19)*100/E19</f>
        <v>0</v>
      </c>
      <c r="N64" s="172" t="str">
        <f>IF(OR(IF(ISNUMBER(K64),IF(ABS(K64)&gt;5,1,0),0),IF(ISNUMBER(L64),IF(ABS(L64)&gt;5,1,0),0),IF(ISNUMBER(M64),IF(ABS(M64)&gt;5,1,0),0)),"&lt;= Err","")</f>
        <v/>
      </c>
      <c r="O64" s="143"/>
      <c r="P64" s="53"/>
      <c r="Q64" s="53"/>
      <c r="R64" s="143"/>
      <c r="S64" s="122"/>
      <c r="T64" s="123"/>
      <c r="U64" s="44"/>
      <c r="V64" s="17"/>
      <c r="W64" s="64"/>
      <c r="X64" s="64"/>
      <c r="Y64" s="103"/>
      <c r="Z64" s="102"/>
      <c r="AA64" s="102"/>
      <c r="AB64" s="102"/>
      <c r="AC64" s="104"/>
      <c r="AD64" s="64"/>
      <c r="AE64" s="64"/>
      <c r="AF64" s="64"/>
      <c r="AG64" s="17"/>
      <c r="AH64" s="17"/>
      <c r="AI64" s="17"/>
      <c r="AJ64" s="122"/>
      <c r="AK64" s="123"/>
    </row>
    <row r="65" spans="1:37" ht="15.75" customHeight="1" x14ac:dyDescent="0.25">
      <c r="A65" s="17"/>
      <c r="B65" s="17"/>
      <c r="C65" s="17"/>
      <c r="D65" s="17"/>
      <c r="E65" s="17"/>
      <c r="F65" s="122"/>
      <c r="G65" s="566"/>
      <c r="H65" s="44"/>
      <c r="I65" s="734" t="s">
        <v>458</v>
      </c>
      <c r="J65" s="735"/>
      <c r="K65" s="344">
        <f>IF(OR(P34="",P34=0,P35="",P35=0),DEGREES(ATAN((K35*SIN(RADIANS(N35))-N34*SIN(RADIANS(L34)))/(K35*COS(RADIANS(N35))-N34*COS(RADIANS(L34))))),DEGREES(ATAN((K35*SIN(RADIANS(P35))-P34*SIN(RADIANS(L34)))/(K35*COS(RADIANS(P35))-P34*COS(RADIANS(L34))))))</f>
        <v>70.000000000000014</v>
      </c>
      <c r="L65" s="344">
        <f>IF(OR(Q34="",Q34=0,Q35="",Q35=0),DEGREES(ATAN((K35*SIN(RADIANS(N35))-N34*SIN(RADIANS(L34)))/(K35*COS(RADIANS(N35))-N34*COS(RADIANS(L34))))),DEGREES(ATAN((K35*SIN(RADIANS(Q35))-Q34*SIN(RADIANS(L34)))/(K35*COS(RADIANS(Q35))-Q34*COS(RADIANS(L34))))))</f>
        <v>70.000000000000014</v>
      </c>
      <c r="M65" s="345">
        <f>IF(OR(R34="",R34=0,R35="",R35=0),DEGREES(ATAN((K35*SIN(RADIANS(N35))-N34*SIN(RADIANS(L34)))/(K35*COS(RADIANS(N35))-N34*COS(RADIANS(L34))))),DEGREES(ATAN((K35*SIN(RADIANS(R35))-R34*SIN(RADIANS(L34)))/(K35*COS(RADIANS(R35))-R34*COS(RADIANS(L34))))))</f>
        <v>70.000000000000014</v>
      </c>
      <c r="N65" s="141"/>
      <c r="O65" s="141"/>
      <c r="P65" s="141"/>
      <c r="Q65" s="141"/>
      <c r="R65" s="141"/>
      <c r="S65" s="122"/>
      <c r="T65" s="123"/>
      <c r="U65" s="44"/>
      <c r="V65" s="17"/>
      <c r="W65" s="64"/>
      <c r="X65" s="64"/>
      <c r="Y65" s="103"/>
      <c r="Z65" s="102"/>
      <c r="AA65" s="102"/>
      <c r="AB65" s="102"/>
      <c r="AC65" s="104"/>
      <c r="AD65" s="64"/>
      <c r="AE65" s="64"/>
      <c r="AF65" s="64"/>
      <c r="AG65" s="17"/>
      <c r="AH65" s="17"/>
      <c r="AI65" s="17"/>
      <c r="AJ65" s="122"/>
      <c r="AK65" s="123"/>
    </row>
    <row r="66" spans="1:37" x14ac:dyDescent="0.25">
      <c r="A66" s="17"/>
      <c r="B66" s="17"/>
      <c r="C66" s="17"/>
      <c r="D66" s="17"/>
      <c r="E66" s="17"/>
      <c r="F66" s="122"/>
      <c r="G66" s="566"/>
      <c r="H66" s="44"/>
      <c r="I66" s="732" t="s">
        <v>461</v>
      </c>
      <c r="J66" s="733"/>
      <c r="K66" s="584">
        <f>K65-E21</f>
        <v>0</v>
      </c>
      <c r="L66" s="584">
        <f>L65-E21</f>
        <v>0</v>
      </c>
      <c r="M66" s="585">
        <f>M65-E21</f>
        <v>0</v>
      </c>
      <c r="N66" s="172" t="str">
        <f>IF(OR(IF(ISNUMBER(K66),IF(ABS(K66)&gt;5,1,0),0),IF(ISNUMBER(L66),IF(ABS(L66)&gt;5,1,0),0),IF(ISNUMBER(M66),IF(ABS(M66)&gt;5,1,0),0)),"&lt;= Err","")</f>
        <v/>
      </c>
      <c r="O66" s="141"/>
      <c r="P66" s="141"/>
      <c r="Q66" s="141"/>
      <c r="R66" s="141"/>
      <c r="S66" s="122"/>
      <c r="T66" s="123"/>
      <c r="U66" s="44"/>
      <c r="V66" s="678" t="s">
        <v>546</v>
      </c>
      <c r="W66" s="103"/>
      <c r="X66" s="102"/>
      <c r="Y66" s="102"/>
      <c r="Z66" s="102"/>
      <c r="AA66" s="102"/>
      <c r="AB66" s="102"/>
      <c r="AC66" s="104"/>
      <c r="AD66" s="64"/>
      <c r="AE66" s="64"/>
      <c r="AF66" s="64"/>
      <c r="AG66" s="17"/>
      <c r="AH66" s="17"/>
      <c r="AI66" s="17"/>
      <c r="AJ66" s="122"/>
      <c r="AK66" s="123"/>
    </row>
    <row r="67" spans="1:37" ht="16.5" customHeight="1" x14ac:dyDescent="0.25">
      <c r="A67" s="17"/>
      <c r="B67" s="17"/>
      <c r="C67" s="17"/>
      <c r="D67" s="17"/>
      <c r="E67" s="17"/>
      <c r="F67" s="122"/>
      <c r="G67" s="566"/>
      <c r="H67" s="44"/>
      <c r="I67" s="734" t="s">
        <v>459</v>
      </c>
      <c r="J67" s="735"/>
      <c r="K67" s="344">
        <f>IF(OR(P36="",P36=0),N36,P36)-IF(E22&gt;=0,IF(E29=1,0,180),IF(E29=1,360,180))</f>
        <v>-20</v>
      </c>
      <c r="L67" s="344">
        <f>IF(OR(Q36="",Q36=0),N36,Q36)-IF(E22&gt;=0,IF(E29=1,0,180),IF(E29=1,360,180))</f>
        <v>-20</v>
      </c>
      <c r="M67" s="345">
        <f>IF(OR(R36="",R36=0),N36,R36)-IF(E22&gt;=0,IF(E29=1,0,180),IF(E29=1,360,180))</f>
        <v>-20</v>
      </c>
      <c r="N67" s="141"/>
      <c r="O67" s="141"/>
      <c r="P67" s="141"/>
      <c r="Q67" s="141"/>
      <c r="R67" s="141"/>
      <c r="S67" s="122"/>
      <c r="T67" s="123"/>
      <c r="U67" s="44"/>
      <c r="V67" s="43" t="s">
        <v>21</v>
      </c>
      <c r="W67" s="97">
        <f>(W68/TAN(RADIANS(W35)))-W34</f>
        <v>-3.4558809370648098</v>
      </c>
      <c r="X67" s="97">
        <f>(X68/TAN(RADIANS(W35)))-W34</f>
        <v>-0.54411906293519019</v>
      </c>
      <c r="Y67" s="97">
        <f>(Y68/TAN(RADIANS(W35)))+W34</f>
        <v>3.4558809370648098</v>
      </c>
      <c r="Z67" s="97">
        <f>(Z68/TAN(RADIANS(W35)))+W34</f>
        <v>0.54411906293519019</v>
      </c>
      <c r="AA67" s="97">
        <f>W67</f>
        <v>-3.4558809370648098</v>
      </c>
      <c r="AB67" s="102"/>
      <c r="AC67" s="682" t="s">
        <v>559</v>
      </c>
      <c r="AD67" s="683"/>
      <c r="AE67" s="64"/>
      <c r="AF67" s="64"/>
      <c r="AG67" s="17"/>
      <c r="AH67" s="17"/>
      <c r="AI67" s="17"/>
      <c r="AJ67" s="122"/>
      <c r="AK67" s="123"/>
    </row>
    <row r="68" spans="1:37" x14ac:dyDescent="0.25">
      <c r="A68" s="17"/>
      <c r="B68" s="17"/>
      <c r="C68" s="17"/>
      <c r="D68" s="17"/>
      <c r="E68" s="17"/>
      <c r="F68" s="122"/>
      <c r="G68" s="566"/>
      <c r="H68" s="44"/>
      <c r="I68" s="732" t="s">
        <v>462</v>
      </c>
      <c r="J68" s="733"/>
      <c r="K68" s="584">
        <f>(K67-E22)*(-1)</f>
        <v>0</v>
      </c>
      <c r="L68" s="584">
        <f>(L67-E22)*(-1)</f>
        <v>0</v>
      </c>
      <c r="M68" s="585">
        <f>(M67-E22)*(-1)</f>
        <v>0</v>
      </c>
      <c r="N68" s="172" t="str">
        <f>IF(OR(IF(ISNUMBER(K68),IF(ABS(K68)&gt;5,1,0),0),IF(ISNUMBER(L68),IF(ABS(L68)&gt;5,1,0),0),IF(ISNUMBER(M68),IF(ABS(M68)&gt;5,1,0),0)),"&lt;= Err","")</f>
        <v/>
      </c>
      <c r="O68" s="143"/>
      <c r="P68" s="53"/>
      <c r="Q68" s="53"/>
      <c r="R68" s="143"/>
      <c r="S68" s="122"/>
      <c r="T68" s="123"/>
      <c r="U68" s="44"/>
      <c r="V68" s="43" t="s">
        <v>45</v>
      </c>
      <c r="W68" s="97">
        <f>-1*W33</f>
        <v>-4</v>
      </c>
      <c r="X68" s="97">
        <f>W33</f>
        <v>4</v>
      </c>
      <c r="Y68" s="97">
        <f>W33</f>
        <v>4</v>
      </c>
      <c r="Z68" s="97">
        <f>-1*W33</f>
        <v>-4</v>
      </c>
      <c r="AA68" s="97">
        <f>W68</f>
        <v>-4</v>
      </c>
      <c r="AB68" s="102"/>
      <c r="AC68" s="684" t="s">
        <v>560</v>
      </c>
      <c r="AD68" s="684" t="str">
        <f>CONCATENATE("Уставки РС:",CHAR(10),"   - ",D18," = ",E18," Ом,",CHAR(10),"   - ",D19," = ",E19," Ом,",CHAR(10),"   - ",D21," = ",E21,CHAR(176),",",CHAR(10),"   - ",D22," = ",E22,CHAR(176),",",CHAR(10),"   - ",D23," = ",E23,CHAR(176),",",CHAR(10),"   - ",D24," = ",E24,CHAR(176),",",CHAR(10),"   - ",D26," = ",E26," Ом,",CHAR(10),"   - ",D27," = ",E27,CHAR(176),".")</f>
        <v>Уставки РС:
   - Xуст = 4 Ом,
   - Rуст = 2 Ом,
   - fi_1 = 70°,
   - fi_2 = -20°,
   - fi_3 = 115°,
   - fi_4 = -15°,
   - Rнагр = 1 Ом,
   - fi_нагр = 15°.</v>
      </c>
      <c r="AE68" s="64" t="s">
        <v>56</v>
      </c>
      <c r="AF68" s="64"/>
      <c r="AG68" s="17"/>
      <c r="AH68" s="17"/>
      <c r="AI68" s="17"/>
      <c r="AJ68" s="122"/>
      <c r="AK68" s="123"/>
    </row>
    <row r="69" spans="1:37" ht="15.75" customHeight="1" x14ac:dyDescent="0.25">
      <c r="A69" s="17"/>
      <c r="B69" s="17"/>
      <c r="C69" s="17"/>
      <c r="D69" s="17"/>
      <c r="E69" s="17"/>
      <c r="F69" s="122"/>
      <c r="G69" s="566"/>
      <c r="H69" s="44"/>
      <c r="I69" s="734" t="s">
        <v>460</v>
      </c>
      <c r="J69" s="735"/>
      <c r="K69" s="344">
        <f>IF(OR(P37="",P37=0),N37,P37)-IF(E29=1,0,180)</f>
        <v>114.99999999999999</v>
      </c>
      <c r="L69" s="344">
        <f>IF(OR(Q37="",Q37=0),N37,Q37)-IF(E29=1,0,180)</f>
        <v>114.99999999999999</v>
      </c>
      <c r="M69" s="345">
        <f>IF(OR(R37="",R37=0),N37,R37)-IF(E29=1,0,180)</f>
        <v>114.99999999999999</v>
      </c>
      <c r="N69" s="141"/>
      <c r="O69" s="143"/>
      <c r="P69" s="53"/>
      <c r="Q69" s="53"/>
      <c r="R69" s="143"/>
      <c r="S69" s="122"/>
      <c r="T69" s="123"/>
      <c r="U69" s="44"/>
      <c r="V69" s="64"/>
      <c r="W69" s="103"/>
      <c r="X69" s="102"/>
      <c r="Y69" s="102"/>
      <c r="Z69" s="102"/>
      <c r="AA69" s="102"/>
      <c r="AB69" s="102"/>
      <c r="AC69" s="685" t="s">
        <v>561</v>
      </c>
      <c r="AD69" s="685" t="str">
        <f>CONCATENATE("Характеристика РС.",CHAR(10),CHAR(10),AD68)</f>
        <v>Характеристика РС.
Уставки РС:
   - Xуст = 4 Ом,
   - Rуст = 2 Ом,
   - fi_1 = 70°,
   - fi_2 = -20°,
   - fi_3 = 115°,
   - fi_4 = -15°,
   - Rнагр = 1 Ом,
   - fi_нагр = 15°.</v>
      </c>
      <c r="AE69" s="64" t="s">
        <v>56</v>
      </c>
      <c r="AF69" s="64"/>
      <c r="AG69" s="17"/>
      <c r="AH69" s="17"/>
      <c r="AI69" s="17"/>
      <c r="AJ69" s="122"/>
      <c r="AK69" s="123"/>
    </row>
    <row r="70" spans="1:37" ht="15.75" customHeight="1" thickBot="1" x14ac:dyDescent="0.3">
      <c r="A70" s="17"/>
      <c r="B70" s="17"/>
      <c r="C70" s="17"/>
      <c r="D70" s="17"/>
      <c r="E70" s="17"/>
      <c r="F70" s="122"/>
      <c r="G70" s="566"/>
      <c r="H70" s="44"/>
      <c r="I70" s="743" t="s">
        <v>463</v>
      </c>
      <c r="J70" s="744"/>
      <c r="K70" s="586">
        <f>K69-E23</f>
        <v>0</v>
      </c>
      <c r="L70" s="586">
        <f>L69-E23</f>
        <v>0</v>
      </c>
      <c r="M70" s="587">
        <f>M69-E23</f>
        <v>0</v>
      </c>
      <c r="N70" s="172" t="str">
        <f>IF(OR(IF(ISNUMBER(K70),IF(ABS(K70)&gt;5,1,0),0),IF(ISNUMBER(L70),IF(ABS(L70)&gt;5,1,0),0),IF(ISNUMBER(M70),IF(ABS(M70)&gt;5,1,0),0)),"&lt;= Err","")</f>
        <v/>
      </c>
      <c r="O70" s="143"/>
      <c r="P70" s="53"/>
      <c r="Q70" s="53"/>
      <c r="R70" s="143"/>
      <c r="S70" s="122"/>
      <c r="T70" s="123"/>
      <c r="U70" s="44"/>
      <c r="V70" s="64" t="s">
        <v>569</v>
      </c>
      <c r="W70" s="64"/>
      <c r="X70" s="64"/>
      <c r="Y70" s="64"/>
      <c r="Z70" s="64"/>
      <c r="AA70" s="102"/>
      <c r="AB70" s="102"/>
      <c r="AC70" s="685" t="s">
        <v>562</v>
      </c>
      <c r="AD70" s="685" t="str">
        <f>CONCATENATE("Характеристики уставок",CHAR(10),"рабочей области РС.",CHAR(10),CHAR(10),AD68)</f>
        <v>Характеристики уставок
рабочей области РС.
Уставки РС:
   - Xуст = 4 Ом,
   - Rуст = 2 Ом,
   - fi_1 = 70°,
   - fi_2 = -20°,
   - fi_3 = 115°,
   - fi_4 = -15°,
   - Rнагр = 1 Ом,
   - fi_нагр = 15°.</v>
      </c>
      <c r="AE70" s="64" t="s">
        <v>56</v>
      </c>
      <c r="AF70" s="64"/>
      <c r="AG70" s="17"/>
      <c r="AH70" s="17"/>
      <c r="AI70" s="17"/>
      <c r="AJ70" s="122"/>
      <c r="AK70" s="123"/>
    </row>
    <row r="71" spans="1:37" x14ac:dyDescent="0.25">
      <c r="A71" s="17"/>
      <c r="B71" s="17"/>
      <c r="C71" s="17"/>
      <c r="D71" s="17"/>
      <c r="E71" s="17"/>
      <c r="F71" s="122"/>
      <c r="G71" s="566"/>
      <c r="H71" s="44"/>
      <c r="I71" s="745" t="s">
        <v>464</v>
      </c>
      <c r="J71" s="746"/>
      <c r="K71" s="346">
        <f>IF(K46="-","-",IF(OR(P46="",P46=0,P47="",P47=0),DEGREES(ATAN((N47*SIN(RADIANS(L47))-N46*SIN(RADIANS(L46)))/(N47*COS(RADIANS(L47))-N46*COS(RADIANS(L46))))),DEGREES(ATAN((P47*SIN(RADIANS(L47))-P46*SIN(RADIANS(L46)))/(P47*COS(RADIANS(L47))-P46*COS(RADIANS(L46)))))))</f>
        <v>-14.999999999999986</v>
      </c>
      <c r="L71" s="346">
        <f>IF(K46="-","-",IF(OR(Q46="",Q46=0,Q47="",Q47=0),DEGREES(ATAN((N47*SIN(RADIANS(L47))-N46*SIN(RADIANS(L46)))/(N47*COS(RADIANS(L47))-N46*COS(RADIANS(L46))))),DEGREES(ATAN((Q47*SIN(RADIANS(L47))-Q46*SIN(RADIANS(L46)))/(Q47*COS(RADIANS(L47))-Q46*COS(RADIANS(L46)))))))</f>
        <v>-14.999999999999986</v>
      </c>
      <c r="M71" s="347">
        <f>IF(K46="-","-",IF(OR(R46="",R46=0,R47="",R47=0),DEGREES(ATAN((N47*SIN(RADIANS(L47))-N46*SIN(RADIANS(L46)))/(N47*COS(RADIANS(L47))-N46*COS(RADIANS(L46))))),DEGREES(ATAN((R47*SIN(RADIANS(L47))-R46*SIN(RADIANS(L46)))/(R47*COS(RADIANS(L47))-R46*COS(RADIANS(L46)))))))</f>
        <v>-14.999999999999986</v>
      </c>
      <c r="N71" s="141"/>
      <c r="O71" s="141"/>
      <c r="P71" s="141"/>
      <c r="Q71" s="18"/>
      <c r="R71" s="143"/>
      <c r="S71" s="122"/>
      <c r="T71" s="123"/>
      <c r="U71" s="44"/>
      <c r="V71" s="43" t="s">
        <v>21</v>
      </c>
      <c r="W71" s="97">
        <f>W72/TAN(RADIANS(W35))</f>
        <v>-1.4558809370648098</v>
      </c>
      <c r="X71" s="97">
        <f>X72/TAN(RADIANS(W35))</f>
        <v>1.4558809370648098</v>
      </c>
      <c r="Y71" s="64"/>
      <c r="Z71" s="64"/>
      <c r="AA71" s="102"/>
      <c r="AB71" s="102"/>
      <c r="AC71" s="104"/>
      <c r="AD71" s="64"/>
      <c r="AE71" s="64"/>
      <c r="AF71" s="64"/>
      <c r="AG71" s="17"/>
      <c r="AH71" s="17"/>
      <c r="AI71" s="17"/>
      <c r="AJ71" s="122"/>
      <c r="AK71" s="123"/>
    </row>
    <row r="72" spans="1:37" ht="15.75" thickBot="1" x14ac:dyDescent="0.3">
      <c r="A72" s="17"/>
      <c r="B72" s="17"/>
      <c r="C72" s="17"/>
      <c r="D72" s="17"/>
      <c r="E72" s="17"/>
      <c r="F72" s="122"/>
      <c r="G72" s="566"/>
      <c r="H72" s="44"/>
      <c r="I72" s="743" t="s">
        <v>465</v>
      </c>
      <c r="J72" s="744"/>
      <c r="K72" s="586">
        <f>IF(K46="-","-",K71-E24)</f>
        <v>1.4210854715202004E-14</v>
      </c>
      <c r="L72" s="586">
        <f>IF(K46="-","-",L71-E24)</f>
        <v>1.4210854715202004E-14</v>
      </c>
      <c r="M72" s="587">
        <f>IF(K46="-","-",M71-E24)</f>
        <v>1.4210854715202004E-14</v>
      </c>
      <c r="N72" s="172" t="str">
        <f>IF(OR(IF(ISNUMBER(K72),IF(ABS(K72)&gt;5,1,0),0),IF(ISNUMBER(L72),IF(ABS(L72)&gt;5,1,0),0),IF(ISNUMBER(M72),IF(ABS(M72)&gt;5,1,0),0)),"&lt;= Err","")</f>
        <v/>
      </c>
      <c r="O72" s="141"/>
      <c r="P72" s="141"/>
      <c r="Q72" s="18"/>
      <c r="R72" s="143"/>
      <c r="S72" s="122"/>
      <c r="T72" s="123"/>
      <c r="U72" s="44"/>
      <c r="V72" s="43" t="s">
        <v>45</v>
      </c>
      <c r="W72" s="97">
        <f>-1*W33</f>
        <v>-4</v>
      </c>
      <c r="X72" s="97">
        <f>W33</f>
        <v>4</v>
      </c>
      <c r="Y72" s="64"/>
      <c r="Z72" s="64"/>
      <c r="AA72" s="102"/>
      <c r="AB72" s="102"/>
      <c r="AC72" s="104"/>
      <c r="AD72" s="64"/>
      <c r="AE72" s="64"/>
      <c r="AF72" s="64"/>
      <c r="AG72" s="17"/>
      <c r="AH72" s="17"/>
      <c r="AI72" s="17"/>
      <c r="AJ72" s="122"/>
      <c r="AK72" s="123"/>
    </row>
    <row r="73" spans="1:37" x14ac:dyDescent="0.25">
      <c r="A73" s="17"/>
      <c r="B73" s="17"/>
      <c r="C73" s="17"/>
      <c r="D73" s="17"/>
      <c r="E73" s="17"/>
      <c r="F73" s="122"/>
      <c r="G73" s="566"/>
      <c r="H73" s="44"/>
      <c r="I73" s="745" t="s">
        <v>130</v>
      </c>
      <c r="J73" s="746"/>
      <c r="K73" s="348">
        <f>IF(K41="-","-",ABS(IF(OR(P41="",P41=0),N41,P41)*COS(RADIANS(L41))/IF(E45=2,2*E41,1)))</f>
        <v>1</v>
      </c>
      <c r="L73" s="348">
        <f>IF(K41="-","-",ABS(IF(OR(Q41="",Q41=0),N41,Q41)*COS(RADIANS(L41))/IF(E45=2,2*E41,1)))</f>
        <v>1</v>
      </c>
      <c r="M73" s="349">
        <f>IF(K41="-","-",ABS(IF(OR(R41="",R41=0),N41,R41)*COS(RADIANS(L41))/IF(E45=2,2*E41,1)))</f>
        <v>1</v>
      </c>
      <c r="N73" s="145"/>
      <c r="O73" s="145"/>
      <c r="P73" s="145"/>
      <c r="Q73" s="18"/>
      <c r="R73" s="146"/>
      <c r="S73" s="122"/>
      <c r="T73" s="123"/>
      <c r="U73" s="44"/>
      <c r="V73" s="64"/>
      <c r="W73" s="64"/>
      <c r="X73" s="64"/>
      <c r="Y73" s="64"/>
      <c r="Z73" s="64"/>
      <c r="AA73" s="102"/>
      <c r="AB73" s="102"/>
      <c r="AC73" s="104"/>
      <c r="AD73" s="64"/>
      <c r="AE73" s="64"/>
      <c r="AF73" s="64"/>
      <c r="AG73" s="17"/>
      <c r="AH73" s="17"/>
      <c r="AI73" s="17"/>
      <c r="AJ73" s="122"/>
      <c r="AK73" s="123"/>
    </row>
    <row r="74" spans="1:37" x14ac:dyDescent="0.25">
      <c r="A74" s="17"/>
      <c r="B74" s="17"/>
      <c r="C74" s="17"/>
      <c r="D74" s="17"/>
      <c r="E74" s="17"/>
      <c r="F74" s="122"/>
      <c r="G74" s="566"/>
      <c r="H74" s="44"/>
      <c r="I74" s="732" t="s">
        <v>123</v>
      </c>
      <c r="J74" s="733"/>
      <c r="K74" s="584">
        <f>IF(K73="-","-",(K73-E26)*100/E26)</f>
        <v>0</v>
      </c>
      <c r="L74" s="584">
        <f>IF(L73="-","-",(L73-E26)*100/E26)</f>
        <v>0</v>
      </c>
      <c r="M74" s="585">
        <f>IF(M73="-","-",(M73-E26)*100/E26)</f>
        <v>0</v>
      </c>
      <c r="N74" s="172" t="str">
        <f>IF(OR(IF(ISNUMBER(K74),IF(ABS(K74)&gt;5,1,0),0),IF(ISNUMBER(L74),IF(ABS(L74)&gt;5,1,0),0),IF(ISNUMBER(M74),IF(ABS(M74)&gt;5,1,0),0)),"&lt;= Err","")</f>
        <v/>
      </c>
      <c r="O74" s="141"/>
      <c r="P74" s="141"/>
      <c r="Q74" s="18"/>
      <c r="R74" s="18"/>
      <c r="S74" s="122"/>
      <c r="T74" s="123"/>
      <c r="U74" s="44"/>
      <c r="V74" s="64" t="s">
        <v>547</v>
      </c>
      <c r="W74" s="103"/>
      <c r="X74" s="102"/>
      <c r="Y74" s="64"/>
      <c r="Z74" s="64"/>
      <c r="AA74" s="102"/>
      <c r="AB74" s="102"/>
      <c r="AC74" s="104"/>
      <c r="AD74" s="64"/>
      <c r="AE74" s="64"/>
      <c r="AF74" s="64"/>
      <c r="AG74" s="17"/>
      <c r="AH74" s="17"/>
      <c r="AI74" s="17"/>
      <c r="AJ74" s="122"/>
      <c r="AK74" s="123"/>
    </row>
    <row r="75" spans="1:37" x14ac:dyDescent="0.25">
      <c r="A75" s="17"/>
      <c r="B75" s="17"/>
      <c r="C75" s="17"/>
      <c r="D75" s="17"/>
      <c r="E75" s="17"/>
      <c r="F75" s="122"/>
      <c r="G75" s="566"/>
      <c r="H75" s="44"/>
      <c r="I75" s="734" t="s">
        <v>466</v>
      </c>
      <c r="J75" s="735"/>
      <c r="K75" s="344">
        <f>IF(K42="-","-",IF(OR(P42="",P42=0),N42,P42)-IF(E29=1,0,180))</f>
        <v>14.999999999999998</v>
      </c>
      <c r="L75" s="344">
        <f>IF(K42="-","-",IF(OR(Q42="",Q42=0),N42,Q42)-IF(E29=1,0,180))</f>
        <v>14.999999999999998</v>
      </c>
      <c r="M75" s="345">
        <f>IF(K42="-","-",IF(OR(R42="",R42=0),N42,R42)-IF(E29=1,0,180))</f>
        <v>14.999999999999998</v>
      </c>
      <c r="N75" s="141"/>
      <c r="O75" s="141"/>
      <c r="P75" s="141"/>
      <c r="Q75" s="18"/>
      <c r="R75" s="18"/>
      <c r="S75" s="122"/>
      <c r="T75" s="123"/>
      <c r="U75" s="44"/>
      <c r="V75" s="43" t="s">
        <v>21</v>
      </c>
      <c r="W75" s="97">
        <f>0*W34</f>
        <v>0</v>
      </c>
      <c r="X75" s="97">
        <f>ROUNDUP(1.1*(W33/TAN(RADIANS(W35))+W34),1)</f>
        <v>3.9</v>
      </c>
      <c r="Y75" s="102"/>
      <c r="Z75" s="102"/>
      <c r="AA75" s="102"/>
      <c r="AB75" s="102"/>
      <c r="AC75" s="104"/>
      <c r="AD75" s="64"/>
      <c r="AE75" s="64"/>
      <c r="AF75" s="64"/>
      <c r="AG75" s="17"/>
      <c r="AH75" s="17"/>
      <c r="AI75" s="17"/>
      <c r="AJ75" s="122"/>
      <c r="AK75" s="123"/>
    </row>
    <row r="76" spans="1:37" ht="15" customHeight="1" thickBot="1" x14ac:dyDescent="0.3">
      <c r="A76" s="17"/>
      <c r="B76" s="17"/>
      <c r="C76" s="17"/>
      <c r="D76" s="17"/>
      <c r="E76" s="17"/>
      <c r="F76" s="122"/>
      <c r="G76" s="566"/>
      <c r="H76" s="44"/>
      <c r="I76" s="728" t="s">
        <v>467</v>
      </c>
      <c r="J76" s="729"/>
      <c r="K76" s="588">
        <f>IF(K75="-","-",(E27-K75))</f>
        <v>1.7763568394002505E-15</v>
      </c>
      <c r="L76" s="588">
        <f>IF(L75="-","-",(E27-L75))</f>
        <v>1.7763568394002505E-15</v>
      </c>
      <c r="M76" s="589">
        <f>IF(M75="-","-",(E27-M75))</f>
        <v>1.7763568394002505E-15</v>
      </c>
      <c r="N76" s="172" t="str">
        <f>IF(OR(IF(ISNUMBER(K76),IF(ABS(K76)&gt;5,1,0),0),IF(ISNUMBER(L76),IF(ABS(L76)&gt;5,1,0),0),IF(ISNUMBER(M76),IF(ABS(M76)&gt;5,1,0),0)),"&lt;= Err","")</f>
        <v/>
      </c>
      <c r="O76" s="141"/>
      <c r="P76" s="141"/>
      <c r="Q76" s="18"/>
      <c r="R76" s="18"/>
      <c r="S76" s="122"/>
      <c r="T76" s="123"/>
      <c r="U76" s="44"/>
      <c r="V76" s="43" t="s">
        <v>45</v>
      </c>
      <c r="W76" s="97">
        <f>W75*TAN(RADIANS(W36))</f>
        <v>0</v>
      </c>
      <c r="X76" s="97">
        <f>X75*TAN(RADIANS(W36))</f>
        <v>-1.4194839136381892</v>
      </c>
      <c r="Y76" s="102"/>
      <c r="Z76" s="102"/>
      <c r="AA76" s="102"/>
      <c r="AB76" s="102"/>
      <c r="AC76" s="104"/>
      <c r="AD76" s="64"/>
      <c r="AE76" s="64"/>
      <c r="AF76" s="64"/>
      <c r="AG76" s="17"/>
      <c r="AH76" s="17"/>
      <c r="AI76" s="17"/>
      <c r="AJ76" s="122"/>
      <c r="AK76" s="123"/>
    </row>
    <row r="77" spans="1:37" ht="15.75" customHeight="1" x14ac:dyDescent="0.25">
      <c r="A77" s="17"/>
      <c r="B77" s="17"/>
      <c r="C77" s="17"/>
      <c r="D77" s="17"/>
      <c r="E77" s="17"/>
      <c r="F77" s="122"/>
      <c r="G77" s="566"/>
      <c r="H77" s="44"/>
      <c r="I77" s="17"/>
      <c r="J77" s="17"/>
      <c r="K77" s="17"/>
      <c r="L77" s="17"/>
      <c r="M77" s="17"/>
      <c r="N77" s="18"/>
      <c r="O77" s="18"/>
      <c r="P77" s="18"/>
      <c r="Q77" s="18"/>
      <c r="R77" s="18"/>
      <c r="S77" s="122"/>
      <c r="T77" s="123"/>
      <c r="U77" s="44"/>
      <c r="V77" s="64"/>
      <c r="W77" s="64"/>
      <c r="X77" s="64"/>
      <c r="Y77" s="102"/>
      <c r="Z77" s="102"/>
      <c r="AA77" s="102"/>
      <c r="AB77" s="102"/>
      <c r="AC77" s="104"/>
      <c r="AD77" s="64"/>
      <c r="AE77" s="64"/>
      <c r="AF77" s="64"/>
      <c r="AG77" s="17"/>
      <c r="AH77" s="17"/>
      <c r="AI77" s="17"/>
      <c r="AJ77" s="122"/>
      <c r="AK77" s="123"/>
    </row>
    <row r="78" spans="1:37" ht="15.75" x14ac:dyDescent="0.25">
      <c r="A78" s="17"/>
      <c r="B78" s="17"/>
      <c r="C78" s="17"/>
      <c r="D78" s="17"/>
      <c r="E78" s="17"/>
      <c r="F78" s="122"/>
      <c r="G78" s="566"/>
      <c r="H78" s="44"/>
      <c r="I78" s="152" t="s">
        <v>209</v>
      </c>
      <c r="J78" s="17"/>
      <c r="K78" s="17"/>
      <c r="L78" s="17"/>
      <c r="M78" s="17"/>
      <c r="N78" s="18"/>
      <c r="O78" s="18"/>
      <c r="P78" s="18"/>
      <c r="Q78" s="18"/>
      <c r="R78" s="18"/>
      <c r="S78" s="122"/>
      <c r="T78" s="123"/>
      <c r="U78" s="44"/>
      <c r="V78" s="64" t="s">
        <v>548</v>
      </c>
      <c r="W78" s="103"/>
      <c r="X78" s="102"/>
      <c r="Y78" s="102"/>
      <c r="Z78" s="102"/>
      <c r="AA78" s="102"/>
      <c r="AB78" s="102"/>
      <c r="AC78" s="104"/>
      <c r="AD78" s="64"/>
      <c r="AE78" s="64"/>
      <c r="AF78" s="64"/>
      <c r="AG78" s="17"/>
      <c r="AH78" s="17"/>
      <c r="AI78" s="17"/>
      <c r="AJ78" s="122"/>
      <c r="AK78" s="123"/>
    </row>
    <row r="79" spans="1:37" ht="15.75" thickBot="1" x14ac:dyDescent="0.3">
      <c r="A79" s="17"/>
      <c r="B79" s="17"/>
      <c r="C79" s="17"/>
      <c r="D79" s="17"/>
      <c r="E79" s="17"/>
      <c r="F79" s="122"/>
      <c r="G79" s="566"/>
      <c r="H79" s="44"/>
      <c r="I79" s="17"/>
      <c r="J79" s="17"/>
      <c r="K79" s="17"/>
      <c r="L79" s="17"/>
      <c r="M79" s="17"/>
      <c r="N79" s="18"/>
      <c r="O79" s="18"/>
      <c r="P79" s="18"/>
      <c r="Q79" s="18"/>
      <c r="R79" s="18"/>
      <c r="S79" s="122"/>
      <c r="T79" s="123"/>
      <c r="U79" s="44"/>
      <c r="V79" s="43" t="s">
        <v>21</v>
      </c>
      <c r="W79" s="97">
        <f>W80/TAN(RADIANS(W37))</f>
        <v>0</v>
      </c>
      <c r="X79" s="97">
        <f>X80/TAN(RADIANS(W37))</f>
        <v>-2.0517536958819931</v>
      </c>
      <c r="Y79" s="102"/>
      <c r="Z79" s="102"/>
      <c r="AA79" s="102"/>
      <c r="AB79" s="102"/>
      <c r="AC79" s="104"/>
      <c r="AD79" s="64"/>
      <c r="AE79" s="64"/>
      <c r="AF79" s="64"/>
      <c r="AG79" s="17"/>
      <c r="AH79" s="17"/>
      <c r="AI79" s="17"/>
      <c r="AJ79" s="122"/>
      <c r="AK79" s="123"/>
    </row>
    <row r="80" spans="1:37" ht="15.75" x14ac:dyDescent="0.25">
      <c r="A80" s="17"/>
      <c r="B80" s="17"/>
      <c r="C80" s="17"/>
      <c r="D80" s="17"/>
      <c r="E80" s="17"/>
      <c r="F80" s="122"/>
      <c r="G80" s="566"/>
      <c r="H80" s="44"/>
      <c r="I80" s="721" t="s">
        <v>0</v>
      </c>
      <c r="J80" s="739"/>
      <c r="K80" s="350"/>
      <c r="L80" s="351" t="s">
        <v>124</v>
      </c>
      <c r="M80" s="352"/>
      <c r="N80" s="18"/>
      <c r="O80" s="18"/>
      <c r="P80" s="18"/>
      <c r="Q80" s="18"/>
      <c r="R80" s="18"/>
      <c r="S80" s="122"/>
      <c r="T80" s="123"/>
      <c r="U80" s="44"/>
      <c r="V80" s="43" t="s">
        <v>45</v>
      </c>
      <c r="W80" s="97">
        <f>0*W33</f>
        <v>0</v>
      </c>
      <c r="X80" s="97">
        <f>ROUNDUP(1.1*W33,1)</f>
        <v>4.4000000000000004</v>
      </c>
      <c r="Y80" s="102"/>
      <c r="Z80" s="102"/>
      <c r="AA80" s="102"/>
      <c r="AB80" s="102"/>
      <c r="AC80" s="104"/>
      <c r="AD80" s="64"/>
      <c r="AE80" s="64"/>
      <c r="AF80" s="64"/>
      <c r="AG80" s="17"/>
      <c r="AH80" s="17"/>
      <c r="AI80" s="17"/>
      <c r="AJ80" s="122"/>
      <c r="AK80" s="123"/>
    </row>
    <row r="81" spans="1:37" ht="15.75" thickBot="1" x14ac:dyDescent="0.3">
      <c r="A81" s="17"/>
      <c r="B81" s="17"/>
      <c r="C81" s="17"/>
      <c r="D81" s="17"/>
      <c r="E81" s="17"/>
      <c r="F81" s="122"/>
      <c r="G81" s="566"/>
      <c r="H81" s="44"/>
      <c r="I81" s="740"/>
      <c r="J81" s="741"/>
      <c r="K81" s="338" t="s">
        <v>125</v>
      </c>
      <c r="L81" s="338" t="s">
        <v>126</v>
      </c>
      <c r="M81" s="339" t="s">
        <v>127</v>
      </c>
      <c r="N81" s="18"/>
      <c r="O81" s="18"/>
      <c r="P81" s="18"/>
      <c r="Q81" s="18"/>
      <c r="R81" s="18"/>
      <c r="S81" s="122"/>
      <c r="T81" s="123"/>
      <c r="U81" s="44"/>
      <c r="V81" s="64"/>
      <c r="W81" s="103"/>
      <c r="X81" s="102"/>
      <c r="Y81" s="102"/>
      <c r="Z81" s="102"/>
      <c r="AA81" s="102"/>
      <c r="AB81" s="102"/>
      <c r="AC81" s="104"/>
      <c r="AD81" s="64"/>
      <c r="AE81" s="64"/>
      <c r="AF81" s="64"/>
      <c r="AG81" s="17"/>
      <c r="AH81" s="17"/>
      <c r="AI81" s="17"/>
      <c r="AJ81" s="122"/>
      <c r="AK81" s="123"/>
    </row>
    <row r="82" spans="1:37" x14ac:dyDescent="0.25">
      <c r="A82" s="17"/>
      <c r="B82" s="17"/>
      <c r="C82" s="17"/>
      <c r="D82" s="17"/>
      <c r="E82" s="17"/>
      <c r="F82" s="122"/>
      <c r="G82" s="566"/>
      <c r="H82" s="44"/>
      <c r="I82" s="730" t="s">
        <v>47</v>
      </c>
      <c r="J82" s="731"/>
      <c r="K82" s="340">
        <f>ABS(IF(OR(P51="",P51=0),N51,P51)*SIN(RADIANS(L51))/IF(E45=2,2*L49,1))</f>
        <v>4</v>
      </c>
      <c r="L82" s="340">
        <f>ABS(IF(OR(Q51="",Q51=0),N51,Q51)*SIN(RADIANS(L51))/IF(E45=2,2*L49,1))</f>
        <v>4</v>
      </c>
      <c r="M82" s="341">
        <f>ABS(IF(OR(R51="",R51=0),N51,R51)*SIN(RADIANS(L51))/IF(E45=2,2*L49,1))</f>
        <v>4</v>
      </c>
      <c r="N82" s="18"/>
      <c r="O82" s="18"/>
      <c r="P82" s="18"/>
      <c r="Q82" s="18"/>
      <c r="R82" s="18"/>
      <c r="S82" s="122"/>
      <c r="T82" s="123"/>
      <c r="U82" s="44"/>
      <c r="V82" s="64" t="s">
        <v>549</v>
      </c>
      <c r="W82" s="103"/>
      <c r="X82" s="102"/>
      <c r="Y82" s="102"/>
      <c r="Z82" s="102"/>
      <c r="AA82" s="102"/>
      <c r="AB82" s="102"/>
      <c r="AC82" s="104"/>
      <c r="AD82" s="64"/>
      <c r="AE82" s="64"/>
      <c r="AF82" s="64"/>
      <c r="AG82" s="17"/>
      <c r="AH82" s="17"/>
      <c r="AI82" s="17"/>
      <c r="AJ82" s="122"/>
      <c r="AK82" s="123"/>
    </row>
    <row r="83" spans="1:37" ht="15.75" thickBot="1" x14ac:dyDescent="0.3">
      <c r="A83" s="17"/>
      <c r="B83" s="17"/>
      <c r="C83" s="17"/>
      <c r="D83" s="17"/>
      <c r="E83" s="17"/>
      <c r="F83" s="122"/>
      <c r="G83" s="566"/>
      <c r="H83" s="44"/>
      <c r="I83" s="728" t="s">
        <v>54</v>
      </c>
      <c r="J83" s="729"/>
      <c r="K83" s="588">
        <f>(K82-E18)*100/E18</f>
        <v>0</v>
      </c>
      <c r="L83" s="588">
        <f>(L82-E18)*100/E18</f>
        <v>0</v>
      </c>
      <c r="M83" s="589">
        <f>(M82-E18)*100/E18</f>
        <v>0</v>
      </c>
      <c r="N83" s="172" t="str">
        <f>IF(OR(IF(ISNUMBER(K83),IF(ABS(K83)&gt;10,1,0),0),IF(ISNUMBER(L83),IF(ABS(L83)&gt;10,1,0),0),IF(ISNUMBER(M83),IF(ABS(M83)&gt;10,1,0),0)),"&lt;= Err","")</f>
        <v/>
      </c>
      <c r="O83" s="18"/>
      <c r="P83" s="18"/>
      <c r="Q83" s="18"/>
      <c r="R83" s="18"/>
      <c r="S83" s="122"/>
      <c r="T83" s="123"/>
      <c r="U83" s="44"/>
      <c r="V83" s="43" t="s">
        <v>21</v>
      </c>
      <c r="W83" s="97">
        <f>Z35+W34</f>
        <v>3</v>
      </c>
      <c r="X83" s="97">
        <f>Z35</f>
        <v>1</v>
      </c>
      <c r="Y83" s="97">
        <f>Z35</f>
        <v>1</v>
      </c>
      <c r="Z83" s="97">
        <f>Z35+W34</f>
        <v>3</v>
      </c>
      <c r="AA83" s="102"/>
      <c r="AB83" s="102"/>
      <c r="AC83" s="104"/>
      <c r="AD83" s="64"/>
      <c r="AE83" s="64"/>
      <c r="AF83" s="64"/>
      <c r="AG83" s="17"/>
      <c r="AH83" s="17"/>
      <c r="AI83" s="17"/>
      <c r="AJ83" s="122"/>
      <c r="AK83" s="123"/>
    </row>
    <row r="84" spans="1:37" x14ac:dyDescent="0.25">
      <c r="A84" s="17"/>
      <c r="B84" s="17"/>
      <c r="C84" s="17"/>
      <c r="D84" s="17"/>
      <c r="E84" s="17"/>
      <c r="F84" s="122"/>
      <c r="G84" s="566"/>
      <c r="H84" s="44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22"/>
      <c r="T84" s="123"/>
      <c r="U84" s="44"/>
      <c r="V84" s="43" t="s">
        <v>45</v>
      </c>
      <c r="W84" s="97">
        <f>W83*TAN(RADIANS(Z38))</f>
        <v>0.80384757729336809</v>
      </c>
      <c r="X84" s="97">
        <f>X83*TAN(RADIANS(Z38))</f>
        <v>0.2679491924311227</v>
      </c>
      <c r="Y84" s="97">
        <f>Y83*TAN(RADIANS(Z37))</f>
        <v>-0.2679491924311227</v>
      </c>
      <c r="Z84" s="97">
        <f>Z83*TAN(RADIANS(Z37))</f>
        <v>-0.80384757729336809</v>
      </c>
      <c r="AA84" s="102"/>
      <c r="AB84" s="102"/>
      <c r="AC84" s="104"/>
      <c r="AD84" s="64"/>
      <c r="AE84" s="64"/>
      <c r="AF84" s="64"/>
      <c r="AG84" s="17"/>
      <c r="AH84" s="17"/>
      <c r="AI84" s="17"/>
      <c r="AJ84" s="122"/>
      <c r="AK84" s="123"/>
    </row>
    <row r="85" spans="1:37" x14ac:dyDescent="0.25">
      <c r="A85" s="17"/>
      <c r="B85" s="17"/>
      <c r="C85" s="17"/>
      <c r="D85" s="17"/>
      <c r="E85" s="17"/>
      <c r="F85" s="122"/>
      <c r="G85" s="566"/>
      <c r="H85" s="44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22"/>
      <c r="T85" s="123"/>
      <c r="U85" s="44"/>
      <c r="V85" s="64"/>
      <c r="W85" s="103"/>
      <c r="X85" s="102"/>
      <c r="Y85" s="102"/>
      <c r="Z85" s="102"/>
      <c r="AA85" s="102"/>
      <c r="AB85" s="102"/>
      <c r="AC85" s="104"/>
      <c r="AD85" s="64"/>
      <c r="AE85" s="64"/>
      <c r="AF85" s="64"/>
      <c r="AG85" s="17"/>
      <c r="AH85" s="17"/>
      <c r="AI85" s="17"/>
      <c r="AJ85" s="122"/>
      <c r="AK85" s="123"/>
    </row>
    <row r="86" spans="1:37" x14ac:dyDescent="0.25">
      <c r="A86" s="17"/>
      <c r="B86" s="17"/>
      <c r="C86" s="17"/>
      <c r="D86" s="17"/>
      <c r="E86" s="17"/>
      <c r="F86" s="122"/>
      <c r="G86" s="566"/>
      <c r="H86" s="17"/>
      <c r="I86" s="43" t="s">
        <v>480</v>
      </c>
      <c r="J86" s="17"/>
      <c r="K86" s="17"/>
      <c r="L86" s="17"/>
      <c r="M86" s="17"/>
      <c r="N86" s="17"/>
      <c r="O86" s="17"/>
      <c r="P86" s="17"/>
      <c r="Q86" s="17"/>
      <c r="R86" s="17"/>
      <c r="S86" s="122"/>
      <c r="T86" s="123"/>
      <c r="U86" s="44"/>
      <c r="V86" s="64" t="s">
        <v>570</v>
      </c>
      <c r="W86" s="103"/>
      <c r="X86" s="102"/>
      <c r="Y86" s="102"/>
      <c r="Z86" s="102"/>
      <c r="AA86" s="102"/>
      <c r="AB86" s="102"/>
      <c r="AC86" s="104"/>
      <c r="AD86" s="64"/>
      <c r="AE86" s="64"/>
      <c r="AF86" s="64"/>
      <c r="AG86" s="17"/>
      <c r="AH86" s="17"/>
      <c r="AI86" s="17"/>
      <c r="AJ86" s="122"/>
      <c r="AK86" s="123"/>
    </row>
    <row r="87" spans="1:37" ht="15.75" thickBot="1" x14ac:dyDescent="0.3">
      <c r="A87" s="17"/>
      <c r="B87" s="17"/>
      <c r="C87" s="17"/>
      <c r="D87" s="17"/>
      <c r="E87" s="17"/>
      <c r="F87" s="122"/>
      <c r="G87" s="566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22"/>
      <c r="T87" s="123"/>
      <c r="U87" s="44"/>
      <c r="V87" s="43" t="s">
        <v>21</v>
      </c>
      <c r="W87" s="97">
        <f>W88/TAN(RADIANS(AC34))</f>
        <v>0</v>
      </c>
      <c r="X87" s="97">
        <f>X88/TAN(RADIANS(AC34))</f>
        <v>1.2678571428571432</v>
      </c>
      <c r="Y87" s="102"/>
      <c r="Z87" s="102"/>
      <c r="AA87" s="102"/>
      <c r="AB87" s="102"/>
      <c r="AC87" s="104"/>
      <c r="AD87" s="64"/>
      <c r="AE87" s="64"/>
      <c r="AF87" s="64"/>
      <c r="AG87" s="17"/>
      <c r="AH87" s="17"/>
      <c r="AI87" s="17"/>
      <c r="AJ87" s="122"/>
      <c r="AK87" s="123"/>
    </row>
    <row r="88" spans="1:37" x14ac:dyDescent="0.25">
      <c r="A88" s="17"/>
      <c r="B88" s="17"/>
      <c r="C88" s="17"/>
      <c r="D88" s="17"/>
      <c r="E88" s="17"/>
      <c r="F88" s="122"/>
      <c r="G88" s="566"/>
      <c r="H88" s="17"/>
      <c r="I88" s="721" t="s">
        <v>0</v>
      </c>
      <c r="J88" s="723" t="s">
        <v>65</v>
      </c>
      <c r="K88" s="725" t="s">
        <v>124</v>
      </c>
      <c r="L88" s="725"/>
      <c r="M88" s="726"/>
      <c r="N88" s="17"/>
      <c r="O88" s="116"/>
      <c r="P88" s="17"/>
      <c r="Q88" s="17"/>
      <c r="R88" s="17"/>
      <c r="S88" s="122"/>
      <c r="T88" s="123"/>
      <c r="U88" s="44"/>
      <c r="V88" s="43" t="s">
        <v>45</v>
      </c>
      <c r="W88" s="97">
        <f>0*W49</f>
        <v>0</v>
      </c>
      <c r="X88" s="97">
        <f>W33</f>
        <v>4</v>
      </c>
      <c r="Y88" s="102"/>
      <c r="Z88" s="102"/>
      <c r="AA88" s="102"/>
      <c r="AB88" s="102"/>
      <c r="AC88" s="104"/>
      <c r="AD88" s="64"/>
      <c r="AE88" s="64"/>
      <c r="AF88" s="64"/>
      <c r="AG88" s="17"/>
      <c r="AH88" s="17"/>
      <c r="AI88" s="17"/>
      <c r="AJ88" s="122"/>
      <c r="AK88" s="123"/>
    </row>
    <row r="89" spans="1:37" ht="15.75" thickBot="1" x14ac:dyDescent="0.3">
      <c r="A89" s="17"/>
      <c r="B89" s="17"/>
      <c r="C89" s="17"/>
      <c r="D89" s="17"/>
      <c r="E89" s="17"/>
      <c r="F89" s="122"/>
      <c r="G89" s="566"/>
      <c r="H89" s="17"/>
      <c r="I89" s="722"/>
      <c r="J89" s="724"/>
      <c r="K89" s="544" t="s">
        <v>125</v>
      </c>
      <c r="L89" s="516" t="s">
        <v>126</v>
      </c>
      <c r="M89" s="517" t="s">
        <v>127</v>
      </c>
      <c r="N89" s="17"/>
      <c r="O89" s="116"/>
      <c r="P89" s="17"/>
      <c r="Q89" s="17"/>
      <c r="R89" s="17"/>
      <c r="S89" s="122"/>
      <c r="T89" s="566"/>
      <c r="U89" s="44"/>
      <c r="V89" s="64"/>
      <c r="W89" s="103"/>
      <c r="X89" s="102"/>
      <c r="Y89" s="102"/>
      <c r="Z89" s="102"/>
      <c r="AA89" s="102"/>
      <c r="AB89" s="102"/>
      <c r="AC89" s="104"/>
      <c r="AD89" s="64"/>
      <c r="AE89" s="64"/>
      <c r="AF89" s="64"/>
      <c r="AG89" s="17"/>
      <c r="AH89" s="17"/>
      <c r="AI89" s="17"/>
      <c r="AJ89" s="122"/>
      <c r="AK89" s="123"/>
    </row>
    <row r="90" spans="1:37" x14ac:dyDescent="0.25">
      <c r="A90" s="17"/>
      <c r="B90" s="17"/>
      <c r="C90" s="17"/>
      <c r="D90" s="17"/>
      <c r="E90" s="17"/>
      <c r="F90" s="122"/>
      <c r="G90" s="566"/>
      <c r="H90" s="17"/>
      <c r="I90" s="525" t="s">
        <v>47</v>
      </c>
      <c r="J90" s="546">
        <f>E18</f>
        <v>4</v>
      </c>
      <c r="K90" s="545">
        <f>K61</f>
        <v>4</v>
      </c>
      <c r="L90" s="512">
        <f>L61</f>
        <v>4</v>
      </c>
      <c r="M90" s="513">
        <f>M61</f>
        <v>4</v>
      </c>
      <c r="N90" s="17"/>
      <c r="O90" s="116"/>
      <c r="P90" s="565"/>
      <c r="Q90" s="17"/>
      <c r="R90" s="17"/>
      <c r="S90" s="122"/>
      <c r="T90" s="566"/>
      <c r="U90" s="44"/>
      <c r="V90" s="64" t="s">
        <v>550</v>
      </c>
      <c r="W90" s="103"/>
      <c r="X90" s="102"/>
      <c r="Y90" s="102"/>
      <c r="Z90" s="102"/>
      <c r="AA90" s="102"/>
      <c r="AB90" s="102"/>
      <c r="AC90" s="104"/>
      <c r="AD90" s="64"/>
      <c r="AE90" s="64"/>
      <c r="AF90" s="64"/>
      <c r="AG90" s="17"/>
      <c r="AH90" s="17"/>
      <c r="AI90" s="17"/>
      <c r="AJ90" s="122"/>
      <c r="AK90" s="123"/>
    </row>
    <row r="91" spans="1:37" x14ac:dyDescent="0.25">
      <c r="A91" s="17"/>
      <c r="B91" s="17"/>
      <c r="C91" s="17"/>
      <c r="D91" s="17"/>
      <c r="E91" s="17"/>
      <c r="F91" s="122"/>
      <c r="G91" s="566"/>
      <c r="H91" s="17"/>
      <c r="I91" s="526" t="s">
        <v>54</v>
      </c>
      <c r="J91" s="554" t="s">
        <v>455</v>
      </c>
      <c r="K91" s="531">
        <f>(K90-E18)*100/E18</f>
        <v>0</v>
      </c>
      <c r="L91" s="508">
        <f>(L90-E18)*100/E18</f>
        <v>0</v>
      </c>
      <c r="M91" s="509">
        <f>(M61-E18)*100/E18</f>
        <v>0</v>
      </c>
      <c r="N91" s="17"/>
      <c r="O91" s="17"/>
      <c r="P91" s="565"/>
      <c r="Q91" s="17"/>
      <c r="R91" s="17"/>
      <c r="S91" s="122"/>
      <c r="T91" s="566"/>
      <c r="U91" s="44"/>
      <c r="V91" s="43" t="s">
        <v>21</v>
      </c>
      <c r="W91" s="97">
        <f>W92/TAN(RADIANS(AC34))</f>
        <v>1.2678571428571432</v>
      </c>
      <c r="X91" s="97">
        <f>W91+1.5*W34</f>
        <v>4.2678571428571432</v>
      </c>
      <c r="Y91" s="102"/>
      <c r="Z91" s="102"/>
      <c r="AA91" s="102"/>
      <c r="AB91" s="102"/>
      <c r="AC91" s="104"/>
      <c r="AD91" s="64"/>
      <c r="AE91" s="64"/>
      <c r="AF91" s="64"/>
      <c r="AG91" s="17"/>
      <c r="AH91" s="17"/>
      <c r="AI91" s="17"/>
      <c r="AJ91" s="122"/>
      <c r="AK91" s="123"/>
    </row>
    <row r="92" spans="1:37" x14ac:dyDescent="0.25">
      <c r="A92" s="17"/>
      <c r="B92" s="17"/>
      <c r="C92" s="17"/>
      <c r="D92" s="17"/>
      <c r="E92" s="17"/>
      <c r="F92" s="122"/>
      <c r="G92" s="566"/>
      <c r="H92" s="17"/>
      <c r="I92" s="540" t="str">
        <f>CONCATENATE("U, B (при I = ",E41,"A / 0",CHAR(176),")")</f>
        <v>U, B (при I = 5A / 0°)</v>
      </c>
      <c r="J92" s="556" t="s">
        <v>56</v>
      </c>
      <c r="K92" s="532" t="str">
        <f>CONCATENATE(TEXT(ABS(IF(OR(P33="",P33=0),N33,P33)*IF(E45=1,2*E41,1)),"0,00")," / ",TEXT(L33,"0,0"),CHAR(176))</f>
        <v>40,00 / 90,0°</v>
      </c>
      <c r="L92" s="518" t="str">
        <f>CONCATENATE(TEXT(ABS(IF(OR(Q33="",Q33=0),N33,Q33)*IF(E45=1,2*E41,1)),"0,00")," / ",TEXT(L33,"0,0"),CHAR(176))</f>
        <v>40,00 / 90,0°</v>
      </c>
      <c r="M92" s="520" t="str">
        <f>CONCATENATE(TEXT(ABS(IF(OR(R33="",R33=0),N33,R33)*IF(E45=1,2*E41,1)),"0,00")," / ",TEXT(L33,"0,0"),CHAR(176))</f>
        <v>40,00 / 90,0°</v>
      </c>
      <c r="N92" s="17"/>
      <c r="O92" s="17"/>
      <c r="P92" s="17"/>
      <c r="Q92" s="17"/>
      <c r="R92" s="17"/>
      <c r="S92" s="122"/>
      <c r="T92" s="566"/>
      <c r="U92" s="44"/>
      <c r="V92" s="43" t="s">
        <v>45</v>
      </c>
      <c r="W92" s="97">
        <f>W33</f>
        <v>4</v>
      </c>
      <c r="X92" s="97">
        <f>W92+(X91-W91)*TAN(RADIANS(W38))</f>
        <v>3.196152422706632</v>
      </c>
      <c r="Y92" s="102"/>
      <c r="Z92" s="102"/>
      <c r="AA92" s="102"/>
      <c r="AB92" s="102"/>
      <c r="AC92" s="104"/>
      <c r="AD92" s="64"/>
      <c r="AE92" s="64"/>
      <c r="AF92" s="64"/>
      <c r="AG92" s="17"/>
      <c r="AH92" s="17"/>
      <c r="AI92" s="17"/>
      <c r="AJ92" s="122"/>
      <c r="AK92" s="123"/>
    </row>
    <row r="93" spans="1:37" x14ac:dyDescent="0.25">
      <c r="A93" s="17"/>
      <c r="B93" s="17"/>
      <c r="C93" s="17"/>
      <c r="D93" s="17"/>
      <c r="E93" s="17"/>
      <c r="F93" s="122"/>
      <c r="G93" s="566"/>
      <c r="H93" s="17"/>
      <c r="I93" s="541" t="s">
        <v>46</v>
      </c>
      <c r="J93" s="547">
        <f>E19</f>
        <v>2</v>
      </c>
      <c r="K93" s="533">
        <f>K63</f>
        <v>2</v>
      </c>
      <c r="L93" s="494">
        <f>L63</f>
        <v>2</v>
      </c>
      <c r="M93" s="495">
        <f>M63</f>
        <v>2</v>
      </c>
      <c r="N93" s="17"/>
      <c r="O93" s="17"/>
      <c r="P93" s="17"/>
      <c r="Q93" s="17"/>
      <c r="R93" s="17"/>
      <c r="S93" s="122"/>
      <c r="T93" s="566"/>
      <c r="U93" s="44"/>
      <c r="V93" s="17"/>
      <c r="W93" s="64"/>
      <c r="X93" s="64"/>
      <c r="Y93" s="103"/>
      <c r="Z93" s="102"/>
      <c r="AA93" s="102"/>
      <c r="AB93" s="102"/>
      <c r="AC93" s="104"/>
      <c r="AD93" s="64"/>
      <c r="AE93" s="64"/>
      <c r="AF93" s="64"/>
      <c r="AG93" s="17"/>
      <c r="AH93" s="17"/>
      <c r="AI93" s="17"/>
      <c r="AJ93" s="122"/>
      <c r="AK93" s="123"/>
    </row>
    <row r="94" spans="1:37" x14ac:dyDescent="0.25">
      <c r="A94" s="123"/>
      <c r="B94" s="123"/>
      <c r="C94" s="123"/>
      <c r="D94" s="123"/>
      <c r="E94" s="123"/>
      <c r="F94" s="123"/>
      <c r="G94" s="566"/>
      <c r="H94" s="17"/>
      <c r="I94" s="526" t="s">
        <v>55</v>
      </c>
      <c r="J94" s="554" t="s">
        <v>455</v>
      </c>
      <c r="K94" s="531">
        <f>(K93-E19)*100/E19</f>
        <v>0</v>
      </c>
      <c r="L94" s="508">
        <f>(L93-E19)*100/E19</f>
        <v>0</v>
      </c>
      <c r="M94" s="509">
        <f>(M93-E19)*100/E19</f>
        <v>0</v>
      </c>
      <c r="N94" s="17"/>
      <c r="O94" s="17"/>
      <c r="P94" s="17"/>
      <c r="Q94" s="17"/>
      <c r="R94" s="17"/>
      <c r="S94" s="122"/>
      <c r="T94" s="566"/>
      <c r="U94" s="44"/>
      <c r="V94" s="17"/>
      <c r="W94" s="64"/>
      <c r="X94" s="64"/>
      <c r="Y94" s="103"/>
      <c r="Z94" s="102"/>
      <c r="AA94" s="102"/>
      <c r="AB94" s="102"/>
      <c r="AC94" s="104"/>
      <c r="AD94" s="64"/>
      <c r="AE94" s="64"/>
      <c r="AF94" s="64"/>
      <c r="AG94" s="17"/>
      <c r="AH94" s="17"/>
      <c r="AI94" s="17"/>
      <c r="AJ94" s="122"/>
      <c r="AK94" s="123"/>
    </row>
    <row r="95" spans="1:37" ht="25.5" x14ac:dyDescent="0.25">
      <c r="A95" s="123"/>
      <c r="B95" s="123"/>
      <c r="C95" s="123"/>
      <c r="D95" s="123"/>
      <c r="E95" s="123"/>
      <c r="F95" s="123"/>
      <c r="G95" s="566"/>
      <c r="H95" s="17"/>
      <c r="I95" s="540" t="str">
        <f>I92</f>
        <v>U, B (при I = 5A / 0°)</v>
      </c>
      <c r="J95" s="556" t="s">
        <v>56</v>
      </c>
      <c r="K95" s="532" t="str">
        <f>CONCATENATE(TEXT(ABS(IF(OR(P34="",P34=0),N34,P34)*IF(E45=1,2*E41,1)),"0,00")," / ",TEXT(L34,"0,0"),CHAR(176))&amp;IF(L34=0,"",CONCATENATE(CHAR(10),TEXT(ABS(K35*IF(E45=1,2*E41,1)),"0,00")," / ",TEXT(IF(OR(P35="",P35=0),N35,P35),"0,0"),CHAR(176)))</f>
        <v>23,85 / 18,0°
42,00 / 43,4°</v>
      </c>
      <c r="L95" s="518" t="str">
        <f>CONCATENATE(TEXT(ABS(IF(OR(Q34="",Q34=0),N34,Q34)*IF(E45=1,2*E41,1)),"0,00")," / ",TEXT(L34,"0,0"),CHAR(176))&amp;IF(L34=0,"",CONCATENATE(CHAR(10),TEXT(ABS(K35*IF(E45=1,2*E41,1)),"0,00")," / ",TEXT(IF(OR(Q35="",Q35=0),N35,Q35),"0,0"),CHAR(176)))</f>
        <v>23,85 / 18,0°
42,00 / 43,4°</v>
      </c>
      <c r="M95" s="520" t="str">
        <f>CONCATENATE(TEXT(ABS(IF(OR(R34="",R34=0),N34,R34)*IF(E45=1,2*E41,1)),"0,00")," / ",TEXT(L34,"0,0"),CHAR(176))&amp;IF(L34=0,"",CONCATENATE(CHAR(10),TEXT(ABS(K35*IF(E45=1,2*E41,1)),"0,00")," / ",TEXT(IF(OR(R35="",R35=0),N35,R35),"0,0"),CHAR(176)))</f>
        <v>23,85 / 18,0°
42,00 / 43,4°</v>
      </c>
      <c r="N95" s="17"/>
      <c r="O95" s="17"/>
      <c r="P95" s="17"/>
      <c r="Q95" s="17"/>
      <c r="R95" s="17"/>
      <c r="S95" s="122"/>
      <c r="T95" s="566"/>
      <c r="U95" s="44"/>
      <c r="V95" s="17"/>
      <c r="W95" s="64"/>
      <c r="X95" s="64"/>
      <c r="Y95" s="103"/>
      <c r="Z95" s="102"/>
      <c r="AA95" s="102"/>
      <c r="AB95" s="102"/>
      <c r="AC95" s="104"/>
      <c r="AD95" s="64"/>
      <c r="AE95" s="64"/>
      <c r="AF95" s="64"/>
      <c r="AG95" s="17"/>
      <c r="AH95" s="17"/>
      <c r="AI95" s="17"/>
      <c r="AJ95" s="122"/>
      <c r="AK95" s="123"/>
    </row>
    <row r="96" spans="1:37" x14ac:dyDescent="0.25">
      <c r="A96" s="123"/>
      <c r="B96" s="123"/>
      <c r="C96" s="123"/>
      <c r="D96" s="123"/>
      <c r="E96" s="123"/>
      <c r="F96" s="123"/>
      <c r="G96" s="566"/>
      <c r="H96" s="17"/>
      <c r="I96" s="541" t="s">
        <v>458</v>
      </c>
      <c r="J96" s="557">
        <f>E21</f>
        <v>70</v>
      </c>
      <c r="K96" s="534">
        <f>K65</f>
        <v>70.000000000000014</v>
      </c>
      <c r="L96" s="496">
        <f>L65</f>
        <v>70.000000000000014</v>
      </c>
      <c r="M96" s="497">
        <f>M65</f>
        <v>70.000000000000014</v>
      </c>
      <c r="N96" s="17"/>
      <c r="O96" s="17"/>
      <c r="P96" s="17"/>
      <c r="Q96" s="17"/>
      <c r="R96" s="17"/>
      <c r="S96" s="122"/>
      <c r="T96" s="566"/>
      <c r="U96" s="44"/>
      <c r="V96" s="17"/>
      <c r="W96" s="64"/>
      <c r="X96" s="64"/>
      <c r="Y96" s="103"/>
      <c r="Z96" s="102"/>
      <c r="AA96" s="102"/>
      <c r="AB96" s="102"/>
      <c r="AC96" s="104"/>
      <c r="AD96" s="64"/>
      <c r="AE96" s="64"/>
      <c r="AF96" s="64"/>
      <c r="AG96" s="17"/>
      <c r="AH96" s="17"/>
      <c r="AI96" s="17"/>
      <c r="AJ96" s="122"/>
      <c r="AK96" s="566"/>
    </row>
    <row r="97" spans="1:37" ht="15.75" x14ac:dyDescent="0.25">
      <c r="A97" s="123"/>
      <c r="B97" s="123"/>
      <c r="C97" s="123"/>
      <c r="D97" s="123"/>
      <c r="E97" s="123"/>
      <c r="F97" s="123"/>
      <c r="G97" s="566"/>
      <c r="H97" s="17"/>
      <c r="I97" s="526" t="s">
        <v>461</v>
      </c>
      <c r="J97" s="554" t="s">
        <v>455</v>
      </c>
      <c r="K97" s="531">
        <f>K96-E21</f>
        <v>0</v>
      </c>
      <c r="L97" s="508">
        <f>L96-E21</f>
        <v>0</v>
      </c>
      <c r="M97" s="509">
        <f>M96-E21</f>
        <v>0</v>
      </c>
      <c r="N97" s="17"/>
      <c r="O97" s="17"/>
      <c r="P97" s="17"/>
      <c r="Q97" s="17"/>
      <c r="R97" s="17"/>
      <c r="S97" s="122"/>
      <c r="T97" s="566"/>
      <c r="U97" s="566"/>
      <c r="V97" s="566"/>
      <c r="W97" s="566"/>
      <c r="X97" s="566"/>
      <c r="Y97" s="566"/>
      <c r="Z97" s="566"/>
      <c r="AA97" s="566"/>
      <c r="AB97" s="566"/>
      <c r="AC97" s="566"/>
      <c r="AD97" s="566"/>
      <c r="AE97" s="566"/>
      <c r="AF97" s="566"/>
      <c r="AG97" s="566"/>
      <c r="AH97" s="566"/>
      <c r="AI97" s="566"/>
      <c r="AJ97" s="566"/>
      <c r="AK97" s="566"/>
    </row>
    <row r="98" spans="1:37" ht="25.5" x14ac:dyDescent="0.25">
      <c r="A98" s="123"/>
      <c r="B98" s="123"/>
      <c r="C98" s="123"/>
      <c r="D98" s="123"/>
      <c r="E98" s="123"/>
      <c r="F98" s="123"/>
      <c r="G98" s="566"/>
      <c r="H98" s="17"/>
      <c r="I98" s="540" t="str">
        <f>I92</f>
        <v>U, B (при I = 5A / 0°)</v>
      </c>
      <c r="J98" s="559" t="s">
        <v>56</v>
      </c>
      <c r="K98" s="535" t="str">
        <f>CONCATENATE(TEXT(ABS(IF(OR(P34="",P34=0),N34,P34)*IF(E45=1,2*E41,1)),"0,00")," / ",TEXT(L34,"0,0"),CHAR(176),CHAR(10),TEXT(ABS(K35*IF(E45=1,2*E41,1)),"0,00")," / ",TEXT(IF(OR(P35="",P35=0),N35,P35),"0,0"),CHAR(176))</f>
        <v>23,85 / 18,0°
42,00 / 43,4°</v>
      </c>
      <c r="L98" s="519" t="str">
        <f>CONCATENATE(TEXT(ABS(IF(OR(Q34="",Q34=0),N34,Q34)*IF(E45=1,2*E41,1)),"0,00")," / ",TEXT(L34,"0,0"),CHAR(176),CHAR(10),TEXT(ABS(K35*IF(E45=1,2*E41,1)),"0,00")," / ",TEXT(IF(OR(Q35="",Q35=0),N35,Q35),"0,0"),CHAR(176))</f>
        <v>23,85 / 18,0°
42,00 / 43,4°</v>
      </c>
      <c r="M98" s="521" t="str">
        <f>CONCATENATE(TEXT(ABS(IF(OR(R34="",R34=0),N34,R34)*IF(E45=1,2*E41,1)),"0,00")," / ",TEXT(L34,"0,0"),CHAR(176),CHAR(10),TEXT(ABS(K35*IF(E45=1,2*E41,1)),"0,00")," / ",TEXT(IF(OR(R35="",R35=0),N35,R35),"0,0"),CHAR(176))</f>
        <v>23,85 / 18,0°
42,00 / 43,4°</v>
      </c>
      <c r="N98" s="17"/>
      <c r="O98" s="17"/>
      <c r="P98" s="17"/>
      <c r="Q98" s="17"/>
      <c r="R98" s="17"/>
      <c r="S98" s="122"/>
      <c r="T98" s="566"/>
      <c r="U98" s="566"/>
      <c r="V98" s="566"/>
      <c r="W98" s="566"/>
      <c r="X98" s="566"/>
      <c r="Y98" s="566"/>
      <c r="Z98" s="566"/>
      <c r="AA98" s="566"/>
      <c r="AB98" s="566"/>
      <c r="AC98" s="566"/>
      <c r="AD98" s="566"/>
      <c r="AE98" s="566"/>
      <c r="AF98" s="566"/>
      <c r="AG98" s="566"/>
      <c r="AH98" s="566"/>
      <c r="AI98" s="566"/>
      <c r="AJ98" s="566"/>
      <c r="AK98" s="566"/>
    </row>
    <row r="99" spans="1:37" x14ac:dyDescent="0.25">
      <c r="A99" s="123"/>
      <c r="B99" s="123"/>
      <c r="C99" s="123"/>
      <c r="D99" s="123"/>
      <c r="E99" s="123"/>
      <c r="F99" s="123"/>
      <c r="G99" s="566"/>
      <c r="H99" s="17"/>
      <c r="I99" s="541" t="s">
        <v>459</v>
      </c>
      <c r="J99" s="557">
        <f>E22</f>
        <v>-20</v>
      </c>
      <c r="K99" s="534">
        <f>K67</f>
        <v>-20</v>
      </c>
      <c r="L99" s="496">
        <f>L67</f>
        <v>-20</v>
      </c>
      <c r="M99" s="497">
        <f>M67</f>
        <v>-20</v>
      </c>
      <c r="N99" s="17"/>
      <c r="O99" s="17"/>
      <c r="P99" s="17"/>
      <c r="Q99" s="17"/>
      <c r="R99" s="17"/>
      <c r="S99" s="122"/>
      <c r="T99" s="566"/>
      <c r="U99" s="566"/>
      <c r="V99" s="566"/>
      <c r="W99" s="566"/>
      <c r="X99" s="566"/>
      <c r="Y99" s="566"/>
      <c r="Z99" s="566"/>
      <c r="AA99" s="566"/>
      <c r="AB99" s="566"/>
      <c r="AC99" s="566"/>
      <c r="AD99" s="566"/>
      <c r="AE99" s="566"/>
      <c r="AF99" s="566"/>
      <c r="AG99" s="566"/>
      <c r="AH99" s="566"/>
      <c r="AI99" s="566"/>
      <c r="AJ99" s="566"/>
      <c r="AK99" s="566"/>
    </row>
    <row r="100" spans="1:37" ht="15" customHeight="1" x14ac:dyDescent="0.25">
      <c r="A100" s="123"/>
      <c r="B100" s="123"/>
      <c r="C100" s="123"/>
      <c r="D100" s="123"/>
      <c r="E100" s="123"/>
      <c r="F100" s="123"/>
      <c r="G100" s="566"/>
      <c r="H100" s="17"/>
      <c r="I100" s="526" t="s">
        <v>462</v>
      </c>
      <c r="J100" s="554" t="s">
        <v>455</v>
      </c>
      <c r="K100" s="531">
        <f>(K99-E22)*(-1)</f>
        <v>0</v>
      </c>
      <c r="L100" s="508">
        <f>(L99-E22)*(-1)</f>
        <v>0</v>
      </c>
      <c r="M100" s="509">
        <f>(M99-E22)*(-1)</f>
        <v>0</v>
      </c>
      <c r="N100" s="17"/>
      <c r="O100" s="17"/>
      <c r="P100" s="17"/>
      <c r="Q100" s="17"/>
      <c r="R100" s="17"/>
      <c r="S100" s="122"/>
      <c r="T100" s="566"/>
      <c r="U100" s="566"/>
      <c r="V100" s="566"/>
      <c r="W100" s="566"/>
      <c r="X100" s="566"/>
      <c r="Y100" s="566"/>
      <c r="Z100" s="566"/>
      <c r="AA100" s="566"/>
      <c r="AB100" s="566"/>
      <c r="AC100" s="566"/>
      <c r="AD100" s="566"/>
      <c r="AE100" s="566"/>
      <c r="AF100" s="566"/>
      <c r="AG100" s="566"/>
      <c r="AH100" s="566"/>
      <c r="AI100" s="566"/>
      <c r="AJ100" s="566"/>
      <c r="AK100" s="566"/>
    </row>
    <row r="101" spans="1:37" ht="15" customHeight="1" x14ac:dyDescent="0.25">
      <c r="A101" s="123"/>
      <c r="B101" s="123"/>
      <c r="C101" s="123"/>
      <c r="D101" s="123"/>
      <c r="E101" s="123"/>
      <c r="F101" s="123"/>
      <c r="G101" s="566"/>
      <c r="H101" s="17"/>
      <c r="I101" s="540" t="str">
        <f>I92</f>
        <v>U, B (при I = 5A / 0°)</v>
      </c>
      <c r="J101" s="559" t="s">
        <v>56</v>
      </c>
      <c r="K101" s="535" t="str">
        <f>CONCATENATE(TEXT(ABS(K36*IF(E45=1,2*E41,1)),"0,00")," / ",TEXT(IF(OR(P36="",P36=0),N36,P36),"0,0"),CHAR(176))</f>
        <v>16,00 / 340,0°</v>
      </c>
      <c r="L101" s="519" t="str">
        <f>CONCATENATE(TEXT(ABS(K36*IF(E45=1,2*E41,1)),"0,00")," / ",TEXT(IF(OR(Q36="",Q36=0),N36,Q36),"0,0"),CHAR(176))</f>
        <v>16,00 / 340,0°</v>
      </c>
      <c r="M101" s="521" t="str">
        <f>CONCATENATE(TEXT(ABS(K36*IF(E45=1,2*E41,1)),"0,00")," / ",TEXT(IF(OR(R36="",R36=0),N36,R36),"0,0"),CHAR(176))</f>
        <v>16,00 / 340,0°</v>
      </c>
      <c r="N101" s="17"/>
      <c r="O101" s="17"/>
      <c r="P101" s="17"/>
      <c r="Q101" s="17"/>
      <c r="R101" s="17"/>
      <c r="S101" s="122"/>
      <c r="T101" s="566"/>
      <c r="U101" s="566"/>
      <c r="V101" s="566"/>
      <c r="W101" s="566"/>
      <c r="X101" s="566"/>
      <c r="Y101" s="566"/>
      <c r="Z101" s="566"/>
      <c r="AA101" s="566"/>
      <c r="AB101" s="566"/>
      <c r="AC101" s="566"/>
      <c r="AD101" s="566"/>
      <c r="AE101" s="566"/>
      <c r="AF101" s="566"/>
      <c r="AG101" s="566"/>
      <c r="AH101" s="566"/>
      <c r="AI101" s="566"/>
      <c r="AJ101" s="566"/>
      <c r="AK101" s="566"/>
    </row>
    <row r="102" spans="1:37" x14ac:dyDescent="0.25">
      <c r="A102" s="123"/>
      <c r="B102" s="123"/>
      <c r="C102" s="123"/>
      <c r="D102" s="123"/>
      <c r="E102" s="123"/>
      <c r="F102" s="123"/>
      <c r="G102" s="566"/>
      <c r="H102" s="17"/>
      <c r="I102" s="541" t="s">
        <v>460</v>
      </c>
      <c r="J102" s="557">
        <f>E23</f>
        <v>115</v>
      </c>
      <c r="K102" s="534">
        <f>K69</f>
        <v>114.99999999999999</v>
      </c>
      <c r="L102" s="496">
        <f>L69</f>
        <v>114.99999999999999</v>
      </c>
      <c r="M102" s="497">
        <f>M69</f>
        <v>114.99999999999999</v>
      </c>
      <c r="N102" s="17"/>
      <c r="O102" s="17"/>
      <c r="P102" s="17"/>
      <c r="Q102" s="17"/>
      <c r="R102" s="17"/>
      <c r="S102" s="122"/>
      <c r="T102" s="566"/>
      <c r="U102" s="566"/>
      <c r="V102" s="566"/>
      <c r="W102" s="566"/>
      <c r="X102" s="566"/>
      <c r="Y102" s="566"/>
      <c r="Z102" s="566"/>
      <c r="AA102" s="566"/>
      <c r="AB102" s="566"/>
      <c r="AC102" s="566"/>
      <c r="AD102" s="566"/>
      <c r="AE102" s="566"/>
      <c r="AF102" s="566"/>
      <c r="AG102" s="566"/>
      <c r="AH102" s="566"/>
      <c r="AI102" s="566"/>
      <c r="AJ102" s="566"/>
      <c r="AK102" s="566"/>
    </row>
    <row r="103" spans="1:37" ht="15" customHeight="1" x14ac:dyDescent="0.25">
      <c r="A103" s="123"/>
      <c r="B103" s="123"/>
      <c r="C103" s="123"/>
      <c r="D103" s="123"/>
      <c r="E103" s="123"/>
      <c r="F103" s="123"/>
      <c r="G103" s="566"/>
      <c r="H103" s="17"/>
      <c r="I103" s="526" t="s">
        <v>463</v>
      </c>
      <c r="J103" s="554" t="s">
        <v>456</v>
      </c>
      <c r="K103" s="531">
        <f>K102-E23</f>
        <v>0</v>
      </c>
      <c r="L103" s="508">
        <f>L102-E23</f>
        <v>0</v>
      </c>
      <c r="M103" s="509">
        <f>M102-E23</f>
        <v>0</v>
      </c>
      <c r="N103" s="17"/>
      <c r="O103" s="17"/>
      <c r="P103" s="17"/>
      <c r="Q103" s="17"/>
      <c r="R103" s="17"/>
      <c r="S103" s="122"/>
      <c r="T103" s="566"/>
      <c r="U103" s="566"/>
      <c r="V103" s="566"/>
      <c r="W103" s="566"/>
      <c r="X103" s="566"/>
      <c r="Y103" s="566"/>
      <c r="Z103" s="566"/>
      <c r="AA103" s="566"/>
      <c r="AB103" s="566"/>
      <c r="AC103" s="566"/>
      <c r="AD103" s="566"/>
      <c r="AE103" s="566"/>
      <c r="AF103" s="566"/>
      <c r="AG103" s="566"/>
      <c r="AH103" s="566"/>
      <c r="AI103" s="566"/>
      <c r="AJ103" s="566"/>
      <c r="AK103" s="566"/>
    </row>
    <row r="104" spans="1:37" ht="15" customHeight="1" x14ac:dyDescent="0.25">
      <c r="A104" s="123"/>
      <c r="B104" s="123"/>
      <c r="C104" s="123"/>
      <c r="D104" s="123"/>
      <c r="E104" s="123"/>
      <c r="F104" s="123"/>
      <c r="G104" s="566"/>
      <c r="H104" s="17"/>
      <c r="I104" s="542" t="str">
        <f>I92</f>
        <v>U, B (при I = 5A / 0°)</v>
      </c>
      <c r="J104" s="560" t="s">
        <v>56</v>
      </c>
      <c r="K104" s="536" t="str">
        <f>CONCATENATE(TEXT(ABS(K37*IF(E45=1,2*E41,1)),"0,00")," / ",TEXT(IF(OR(P37="",P37=0),N37,P37),"0,0"),CHAR(176))</f>
        <v>23,00 / 115,0°</v>
      </c>
      <c r="L104" s="498" t="str">
        <f>CONCATENATE(TEXT(ABS(K37*IF(E45=1,2*E41,1)),"0,00")," / ",TEXT(IF(OR(Q37="",Q37=0),N37,Q37),"0,0"),CHAR(176))</f>
        <v>23,00 / 115,0°</v>
      </c>
      <c r="M104" s="499" t="str">
        <f>CONCATENATE(TEXT(ABS(K37*IF(E45=1,2*E41,1)),"0,00")," / ",TEXT(IF(OR(R37="",R37=0),N37,R37),"0,0"),CHAR(176))</f>
        <v>23,00 / 115,0°</v>
      </c>
      <c r="N104" s="17"/>
      <c r="O104" s="17"/>
      <c r="P104" s="17"/>
      <c r="Q104" s="17"/>
      <c r="R104" s="17"/>
      <c r="S104" s="122"/>
      <c r="T104" s="566"/>
      <c r="U104" s="566"/>
      <c r="V104" s="566"/>
      <c r="W104" s="566"/>
      <c r="X104" s="566"/>
      <c r="Y104" s="566"/>
      <c r="Z104" s="566"/>
      <c r="AA104" s="566"/>
      <c r="AB104" s="566"/>
      <c r="AC104" s="566"/>
      <c r="AD104" s="566"/>
      <c r="AE104" s="566"/>
      <c r="AF104" s="566"/>
      <c r="AG104" s="566"/>
      <c r="AH104" s="566"/>
      <c r="AI104" s="566"/>
      <c r="AJ104" s="566"/>
      <c r="AK104" s="566"/>
    </row>
    <row r="105" spans="1:37" ht="15" customHeight="1" x14ac:dyDescent="0.25">
      <c r="A105" s="123"/>
      <c r="B105" s="123"/>
      <c r="C105" s="123"/>
      <c r="D105" s="123"/>
      <c r="E105" s="123"/>
      <c r="F105" s="123"/>
      <c r="G105" s="566"/>
      <c r="H105" s="17"/>
      <c r="I105" s="541" t="s">
        <v>464</v>
      </c>
      <c r="J105" s="557">
        <f>IF(K46="-","-",E24)</f>
        <v>-15</v>
      </c>
      <c r="K105" s="534">
        <f>K71</f>
        <v>-14.999999999999986</v>
      </c>
      <c r="L105" s="496">
        <f>L71</f>
        <v>-14.999999999999986</v>
      </c>
      <c r="M105" s="497">
        <f>M71</f>
        <v>-14.999999999999986</v>
      </c>
      <c r="N105" s="17"/>
      <c r="O105" s="17"/>
      <c r="P105" s="17"/>
      <c r="Q105" s="17"/>
      <c r="R105" s="17"/>
      <c r="S105" s="122"/>
      <c r="T105" s="566"/>
      <c r="U105" s="566"/>
      <c r="V105" s="566"/>
      <c r="W105" s="566"/>
      <c r="X105" s="566"/>
      <c r="Y105" s="566"/>
      <c r="Z105" s="566"/>
      <c r="AA105" s="566"/>
      <c r="AB105" s="566"/>
      <c r="AC105" s="566"/>
      <c r="AD105" s="566"/>
      <c r="AE105" s="566"/>
      <c r="AF105" s="566"/>
      <c r="AG105" s="566"/>
      <c r="AH105" s="566"/>
      <c r="AI105" s="566"/>
      <c r="AJ105" s="566"/>
      <c r="AK105" s="566"/>
    </row>
    <row r="106" spans="1:37" ht="15" customHeight="1" x14ac:dyDescent="0.25">
      <c r="A106" s="123"/>
      <c r="B106" s="123"/>
      <c r="C106" s="123"/>
      <c r="D106" s="123"/>
      <c r="E106" s="123"/>
      <c r="F106" s="123"/>
      <c r="G106" s="566"/>
      <c r="H106" s="17"/>
      <c r="I106" s="526" t="s">
        <v>465</v>
      </c>
      <c r="J106" s="554" t="str">
        <f>IF(K46="-","-","&lt; 5")</f>
        <v>&lt; 5</v>
      </c>
      <c r="K106" s="531">
        <f>IF(K46="-","-",K105-E24)</f>
        <v>1.4210854715202004E-14</v>
      </c>
      <c r="L106" s="508">
        <f>IF(K46="-","-",L105-E24)</f>
        <v>1.4210854715202004E-14</v>
      </c>
      <c r="M106" s="509">
        <f>IF(K46="-","-",M105-E24)</f>
        <v>1.4210854715202004E-14</v>
      </c>
      <c r="N106" s="17"/>
      <c r="O106" s="17"/>
      <c r="P106" s="17"/>
      <c r="Q106" s="17"/>
      <c r="R106" s="17"/>
      <c r="S106" s="122"/>
      <c r="T106" s="566"/>
      <c r="U106" s="566"/>
      <c r="V106" s="566"/>
      <c r="W106" s="566"/>
      <c r="X106" s="566"/>
      <c r="Y106" s="566"/>
      <c r="Z106" s="566"/>
      <c r="AA106" s="566"/>
      <c r="AB106" s="566"/>
      <c r="AC106" s="566"/>
      <c r="AD106" s="566"/>
      <c r="AE106" s="566"/>
      <c r="AF106" s="566"/>
      <c r="AG106" s="566"/>
      <c r="AH106" s="566"/>
      <c r="AI106" s="566"/>
      <c r="AJ106" s="566"/>
      <c r="AK106" s="566"/>
    </row>
    <row r="107" spans="1:37" ht="25.5" x14ac:dyDescent="0.25">
      <c r="A107" s="123"/>
      <c r="B107" s="123"/>
      <c r="C107" s="123"/>
      <c r="D107" s="123"/>
      <c r="E107" s="123"/>
      <c r="F107" s="123"/>
      <c r="G107" s="566"/>
      <c r="H107" s="17"/>
      <c r="I107" s="540" t="str">
        <f>I92</f>
        <v>U, B (при I = 5A / 0°)</v>
      </c>
      <c r="J107" s="559" t="s">
        <v>56</v>
      </c>
      <c r="K107" s="535" t="str">
        <f>IF(K46="-","-",CONCATENATE(TEXT(ABS(IF(OR(P46="",P46=0),N46,P46)*IF(E45=1,2*E41,1)),"0,00")," / ",TEXT(L46,"0,0"),CHAR(176),CHAR(10),TEXT(ABS(IF(OR(P47="",P47=0),N47,P47)*IF(E45=1,2*E41,1)),"0,00")," / ",TEXT(L47,"0,0"),CHAR(176)))</f>
        <v>46,64 / 49,0°
42,02 / 71,0°</v>
      </c>
      <c r="L107" s="519" t="str">
        <f>IF(K46="-","-",CONCATENATE(TEXT(ABS(IF(OR(Q46="",Q46=0),N46,Q46)*IF(E45=1,2*E41,1)),"0,00")," / ",TEXT(L46,"0,0"),CHAR(176),CHAR(10),TEXT(ABS(IF(OR(Q47="",Q47=0),N47,Q47)*IF(E45=1,2*E41,1)),"0,00")," / ",TEXT(L47,"0,0"),CHAR(176)))</f>
        <v>46,64 / 49,0°
42,02 / 71,0°</v>
      </c>
      <c r="M107" s="521" t="str">
        <f>IF(K46="-","-",CONCATENATE(TEXT(ABS(IF(OR(R46="",R46=0),N46,R46)*IF(E45=1,2*E41,1)),"0,00")," / ",TEXT(L46,"0,0"),CHAR(176),CHAR(10),TEXT(ABS(IF(OR(R47="",R47=0),N47,R47)*IF(E45=1,2*E41,1)),"0,00")," / ",TEXT(L47,"0,0"),CHAR(176)))</f>
        <v>46,64 / 49,0°
42,02 / 71,0°</v>
      </c>
      <c r="N107" s="17"/>
      <c r="O107" s="17"/>
      <c r="P107" s="17"/>
      <c r="Q107" s="17"/>
      <c r="R107" s="17"/>
      <c r="S107" s="122"/>
      <c r="T107" s="566"/>
      <c r="U107" s="566"/>
      <c r="V107" s="566"/>
      <c r="W107" s="566"/>
      <c r="X107" s="566"/>
      <c r="Y107" s="566"/>
      <c r="Z107" s="566"/>
      <c r="AA107" s="566"/>
      <c r="AB107" s="566"/>
      <c r="AC107" s="566"/>
      <c r="AD107" s="566"/>
      <c r="AE107" s="566"/>
      <c r="AF107" s="566"/>
      <c r="AG107" s="566"/>
      <c r="AH107" s="566"/>
      <c r="AI107" s="566"/>
      <c r="AJ107" s="566"/>
      <c r="AK107" s="566"/>
    </row>
    <row r="108" spans="1:37" ht="15" customHeight="1" x14ac:dyDescent="0.25">
      <c r="A108" s="123"/>
      <c r="B108" s="123"/>
      <c r="C108" s="123"/>
      <c r="D108" s="123"/>
      <c r="E108" s="123"/>
      <c r="F108" s="123"/>
      <c r="G108" s="566"/>
      <c r="H108" s="17"/>
      <c r="I108" s="543" t="s">
        <v>130</v>
      </c>
      <c r="J108" s="558">
        <f>IF(K41="-","-",E26)</f>
        <v>1</v>
      </c>
      <c r="K108" s="537">
        <f>K73</f>
        <v>1</v>
      </c>
      <c r="L108" s="492">
        <f>L73</f>
        <v>1</v>
      </c>
      <c r="M108" s="493">
        <f>M73</f>
        <v>1</v>
      </c>
      <c r="N108" s="17"/>
      <c r="O108" s="17"/>
      <c r="P108" s="17"/>
      <c r="Q108" s="17"/>
      <c r="R108" s="17"/>
      <c r="S108" s="122"/>
      <c r="T108" s="566"/>
      <c r="U108" s="566"/>
      <c r="V108" s="566"/>
      <c r="W108" s="566"/>
      <c r="X108" s="566"/>
      <c r="Y108" s="566"/>
      <c r="Z108" s="566"/>
      <c r="AA108" s="566"/>
      <c r="AB108" s="566"/>
      <c r="AC108" s="566"/>
      <c r="AD108" s="566"/>
      <c r="AE108" s="566"/>
      <c r="AF108" s="566"/>
      <c r="AG108" s="566"/>
      <c r="AH108" s="566"/>
      <c r="AI108" s="566"/>
      <c r="AJ108" s="566"/>
      <c r="AK108" s="566"/>
    </row>
    <row r="109" spans="1:37" ht="15" customHeight="1" x14ac:dyDescent="0.25">
      <c r="A109" s="123"/>
      <c r="B109" s="123"/>
      <c r="C109" s="123"/>
      <c r="D109" s="123"/>
      <c r="E109" s="123"/>
      <c r="F109" s="123"/>
      <c r="G109" s="566"/>
      <c r="H109" s="17"/>
      <c r="I109" s="526" t="s">
        <v>123</v>
      </c>
      <c r="J109" s="554" t="str">
        <f>IF(K41="-","-","&lt; 5")</f>
        <v>&lt; 5</v>
      </c>
      <c r="K109" s="531">
        <f>IF(K108="-","-",(K108-E26)*100/E26)</f>
        <v>0</v>
      </c>
      <c r="L109" s="508">
        <f>IF(L108="-","-",(L108-E26)*100/E26)</f>
        <v>0</v>
      </c>
      <c r="M109" s="509">
        <f>IF(M108="-","-",(M108-E26)*100/E26)</f>
        <v>0</v>
      </c>
      <c r="N109" s="17"/>
      <c r="O109" s="17"/>
      <c r="P109" s="17"/>
      <c r="Q109" s="17"/>
      <c r="R109" s="17"/>
      <c r="S109" s="122"/>
      <c r="T109" s="566"/>
      <c r="U109" s="566"/>
      <c r="V109" s="566"/>
      <c r="W109" s="566"/>
      <c r="X109" s="566"/>
      <c r="Y109" s="566"/>
      <c r="Z109" s="566"/>
      <c r="AA109" s="566"/>
      <c r="AB109" s="566"/>
      <c r="AC109" s="566"/>
      <c r="AD109" s="566"/>
      <c r="AE109" s="566"/>
      <c r="AF109" s="566"/>
      <c r="AG109" s="566"/>
      <c r="AH109" s="566"/>
      <c r="AI109" s="566"/>
      <c r="AJ109" s="566"/>
      <c r="AK109" s="566"/>
    </row>
    <row r="110" spans="1:37" ht="15" customHeight="1" x14ac:dyDescent="0.25">
      <c r="A110" s="123"/>
      <c r="B110" s="123"/>
      <c r="C110" s="123"/>
      <c r="D110" s="123"/>
      <c r="E110" s="123"/>
      <c r="F110" s="123"/>
      <c r="G110" s="566"/>
      <c r="H110" s="17"/>
      <c r="I110" s="540" t="str">
        <f>I92</f>
        <v>U, B (при I = 5A / 0°)</v>
      </c>
      <c r="J110" s="556" t="s">
        <v>56</v>
      </c>
      <c r="K110" s="532" t="str">
        <f>IF(K41="-","-",CONCATENATE(TEXT(ABS(IF(OR(P41="",P41=0),N41,P41)*IF(E45=1,2*E41,1)),"0,00")," / ",TEXT(L41,"0,0"),CHAR(176)))</f>
        <v>10,00 / 0,0°</v>
      </c>
      <c r="L110" s="518" t="str">
        <f>IF(K41="-","-",CONCATENATE(TEXT(ABS(IF(OR(Q41="",Q41=0),N41,Q41)*IF(E45=1,2*E41,1)),"0,00")," / ",TEXT(L41,"0,0"),CHAR(176)))</f>
        <v>10,00 / 0,0°</v>
      </c>
      <c r="M110" s="520" t="str">
        <f>IF(K41="-","-",CONCATENATE(TEXT(ABS(IF(OR(R41="",R41=0),N41,R41)*IF(E45=1,2*E41,1)),"0,00")," / ",TEXT(L41,"0,0"),CHAR(176)))</f>
        <v>10,00 / 0,0°</v>
      </c>
      <c r="N110" s="17"/>
      <c r="O110" s="17"/>
      <c r="P110" s="17"/>
      <c r="Q110" s="17"/>
      <c r="R110" s="17"/>
      <c r="S110" s="122"/>
      <c r="T110" s="566"/>
      <c r="U110" s="566"/>
      <c r="V110" s="566"/>
      <c r="W110" s="566"/>
      <c r="X110" s="566"/>
      <c r="Y110" s="566"/>
      <c r="Z110" s="566"/>
      <c r="AA110" s="566"/>
      <c r="AB110" s="566"/>
      <c r="AC110" s="566"/>
      <c r="AD110" s="566"/>
      <c r="AE110" s="566"/>
      <c r="AF110" s="566"/>
      <c r="AG110" s="566"/>
      <c r="AH110" s="566"/>
      <c r="AI110" s="566"/>
      <c r="AJ110" s="566"/>
      <c r="AK110" s="566"/>
    </row>
    <row r="111" spans="1:37" x14ac:dyDescent="0.25">
      <c r="A111" s="123"/>
      <c r="B111" s="123"/>
      <c r="C111" s="123"/>
      <c r="D111" s="123"/>
      <c r="E111" s="123"/>
      <c r="F111" s="123"/>
      <c r="G111" s="566"/>
      <c r="H111" s="17"/>
      <c r="I111" s="543" t="s">
        <v>468</v>
      </c>
      <c r="J111" s="557">
        <f>IF(K42="-","-",E27)</f>
        <v>15</v>
      </c>
      <c r="K111" s="538">
        <f>K75</f>
        <v>14.999999999999998</v>
      </c>
      <c r="L111" s="500">
        <f>L75</f>
        <v>14.999999999999998</v>
      </c>
      <c r="M111" s="501">
        <f>M75</f>
        <v>14.999999999999998</v>
      </c>
      <c r="N111" s="17"/>
      <c r="O111" s="17"/>
      <c r="P111" s="17"/>
      <c r="Q111" s="17"/>
      <c r="R111" s="17"/>
      <c r="S111" s="122"/>
      <c r="T111" s="566"/>
      <c r="U111" s="566"/>
      <c r="V111" s="566"/>
      <c r="W111" s="566"/>
      <c r="X111" s="566"/>
      <c r="Y111" s="566"/>
      <c r="Z111" s="566"/>
      <c r="AA111" s="566"/>
      <c r="AB111" s="566"/>
      <c r="AC111" s="566"/>
      <c r="AD111" s="566"/>
      <c r="AE111" s="566"/>
      <c r="AF111" s="566"/>
      <c r="AG111" s="566"/>
      <c r="AH111" s="566"/>
      <c r="AI111" s="566"/>
      <c r="AJ111" s="566"/>
      <c r="AK111" s="566"/>
    </row>
    <row r="112" spans="1:37" ht="15.75" x14ac:dyDescent="0.25">
      <c r="A112" s="123"/>
      <c r="B112" s="123"/>
      <c r="C112" s="123"/>
      <c r="D112" s="123"/>
      <c r="E112" s="123"/>
      <c r="F112" s="123"/>
      <c r="G112" s="566"/>
      <c r="H112" s="17"/>
      <c r="I112" s="526" t="s">
        <v>467</v>
      </c>
      <c r="J112" s="554" t="str">
        <f>IF(K42="-","-","&lt; 5")</f>
        <v>&lt; 5</v>
      </c>
      <c r="K112" s="531">
        <f>IF(K111="-","-",(E27-K111))</f>
        <v>1.7763568394002505E-15</v>
      </c>
      <c r="L112" s="508">
        <f>IF(L111="-","-",(E27-L111))</f>
        <v>1.7763568394002505E-15</v>
      </c>
      <c r="M112" s="509">
        <f>IF(M111="-","-",(E27-M111))</f>
        <v>1.7763568394002505E-15</v>
      </c>
      <c r="N112" s="17"/>
      <c r="O112" s="17"/>
      <c r="P112" s="17"/>
      <c r="Q112" s="17"/>
      <c r="R112" s="17"/>
      <c r="S112" s="122"/>
      <c r="T112" s="566"/>
      <c r="U112" s="566"/>
      <c r="V112" s="566"/>
      <c r="W112" s="566"/>
      <c r="X112" s="566"/>
      <c r="Y112" s="566"/>
      <c r="Z112" s="566"/>
      <c r="AA112" s="566"/>
      <c r="AB112" s="566"/>
      <c r="AC112" s="566"/>
      <c r="AD112" s="566"/>
      <c r="AE112" s="566"/>
      <c r="AF112" s="566"/>
      <c r="AG112" s="566"/>
      <c r="AH112" s="566"/>
      <c r="AI112" s="566"/>
      <c r="AJ112" s="566"/>
      <c r="AK112" s="566"/>
    </row>
    <row r="113" spans="1:37" ht="15.75" thickBot="1" x14ac:dyDescent="0.3">
      <c r="A113" s="123"/>
      <c r="B113" s="123"/>
      <c r="C113" s="123"/>
      <c r="D113" s="123"/>
      <c r="E113" s="123"/>
      <c r="F113" s="123"/>
      <c r="G113" s="566"/>
      <c r="H113" s="17"/>
      <c r="I113" s="524" t="str">
        <f>I92</f>
        <v>U, B (при I = 5A / 0°)</v>
      </c>
      <c r="J113" s="561" t="s">
        <v>56</v>
      </c>
      <c r="K113" s="539" t="str">
        <f>IF(K41="-","-",CONCATENATE(TEXT(ABS(K42*IF(E45=1,2*E41,1)),"0,00")," / ",TEXT(IF(OR(P42="",P42=0),N42,P42),"0,0"),CHAR(176)))</f>
        <v>19,00 / 15,0°</v>
      </c>
      <c r="L113" s="514" t="str">
        <f>IF(K41="-","-",CONCATENATE(TEXT(ABS(K42*IF(E45=1,2*E41,1)),"0,00")," / ",TEXT(IF(OR(Q42="",Q42=0),N42,Q42),"0,0"),CHAR(176)))</f>
        <v>19,00 / 15,0°</v>
      </c>
      <c r="M113" s="515" t="str">
        <f>IF(K41="-","-",CONCATENATE(TEXT(ABS(K42*IF(E45=1,2*E41,1)),"0,00")," / ",TEXT(IF(OR(R42="",R42=0),N42,R42),"0,0"),CHAR(176)))</f>
        <v>19,00 / 15,0°</v>
      </c>
      <c r="N113" s="17"/>
      <c r="O113" s="17"/>
      <c r="P113" s="17"/>
      <c r="Q113" s="17"/>
      <c r="R113" s="17"/>
      <c r="S113" s="122"/>
      <c r="T113" s="566"/>
      <c r="U113" s="566"/>
      <c r="V113" s="566"/>
      <c r="W113" s="566"/>
      <c r="X113" s="566"/>
      <c r="Y113" s="566"/>
      <c r="Z113" s="566"/>
      <c r="AA113" s="566"/>
      <c r="AB113" s="566"/>
      <c r="AC113" s="566"/>
      <c r="AD113" s="566"/>
      <c r="AE113" s="566"/>
      <c r="AF113" s="566"/>
      <c r="AG113" s="566"/>
      <c r="AH113" s="566"/>
      <c r="AI113" s="566"/>
      <c r="AJ113" s="566"/>
      <c r="AK113" s="566"/>
    </row>
    <row r="114" spans="1:37" x14ac:dyDescent="0.25">
      <c r="A114" s="123"/>
      <c r="B114" s="123"/>
      <c r="C114" s="123"/>
      <c r="D114" s="123"/>
      <c r="E114" s="123"/>
      <c r="F114" s="123"/>
      <c r="G114" s="566"/>
      <c r="H114" s="17"/>
      <c r="I114" s="17"/>
      <c r="J114" s="17"/>
      <c r="K114" s="135"/>
      <c r="L114" s="135"/>
      <c r="M114" s="135"/>
      <c r="N114" s="17"/>
      <c r="O114" s="17"/>
      <c r="P114" s="17"/>
      <c r="Q114" s="17"/>
      <c r="R114" s="17"/>
      <c r="S114" s="122"/>
      <c r="T114" s="566"/>
      <c r="U114" s="566"/>
      <c r="V114" s="566"/>
      <c r="W114" s="566"/>
      <c r="X114" s="566"/>
      <c r="Y114" s="566"/>
      <c r="Z114" s="566"/>
      <c r="AA114" s="566"/>
      <c r="AB114" s="566"/>
      <c r="AC114" s="566"/>
      <c r="AD114" s="566"/>
      <c r="AE114" s="566"/>
      <c r="AF114" s="566"/>
      <c r="AG114" s="566"/>
      <c r="AH114" s="566"/>
      <c r="AI114" s="566"/>
      <c r="AJ114" s="566"/>
      <c r="AK114" s="566"/>
    </row>
    <row r="115" spans="1:37" ht="15" customHeight="1" x14ac:dyDescent="0.25">
      <c r="A115" s="123"/>
      <c r="B115" s="123"/>
      <c r="C115" s="123"/>
      <c r="D115" s="123"/>
      <c r="E115" s="123"/>
      <c r="F115" s="123"/>
      <c r="G115" s="566"/>
      <c r="H115" s="17"/>
      <c r="I115" s="597" t="s">
        <v>209</v>
      </c>
      <c r="J115" s="17"/>
      <c r="K115" s="135"/>
      <c r="L115" s="135"/>
      <c r="M115" s="135"/>
      <c r="N115" s="17"/>
      <c r="O115" s="17"/>
      <c r="P115" s="17"/>
      <c r="Q115" s="17"/>
      <c r="R115" s="17"/>
      <c r="S115" s="122"/>
      <c r="T115" s="566"/>
      <c r="U115" s="566"/>
      <c r="V115" s="566"/>
      <c r="W115" s="566"/>
      <c r="X115" s="566"/>
      <c r="Y115" s="566"/>
      <c r="Z115" s="566"/>
      <c r="AA115" s="566"/>
      <c r="AB115" s="566"/>
      <c r="AC115" s="566"/>
      <c r="AD115" s="566"/>
      <c r="AE115" s="566"/>
      <c r="AF115" s="566"/>
      <c r="AG115" s="566"/>
      <c r="AH115" s="566"/>
      <c r="AI115" s="566"/>
      <c r="AJ115" s="566"/>
      <c r="AK115" s="566"/>
    </row>
    <row r="116" spans="1:37" ht="15.75" thickBot="1" x14ac:dyDescent="0.3">
      <c r="A116" s="123"/>
      <c r="B116" s="123"/>
      <c r="C116" s="123"/>
      <c r="D116" s="123"/>
      <c r="E116" s="123"/>
      <c r="F116" s="123"/>
      <c r="G116" s="566"/>
      <c r="H116" s="17"/>
      <c r="I116" s="17"/>
      <c r="J116" s="17"/>
      <c r="K116" s="135"/>
      <c r="L116" s="135"/>
      <c r="M116" s="135"/>
      <c r="N116" s="17"/>
      <c r="O116" s="17"/>
      <c r="P116" s="17"/>
      <c r="Q116" s="17"/>
      <c r="R116" s="17"/>
      <c r="S116" s="122"/>
      <c r="T116" s="566"/>
      <c r="U116" s="566"/>
      <c r="V116" s="566"/>
      <c r="W116" s="566"/>
      <c r="X116" s="566"/>
      <c r="Y116" s="566"/>
      <c r="Z116" s="566"/>
      <c r="AA116" s="566"/>
      <c r="AB116" s="566"/>
      <c r="AC116" s="566"/>
      <c r="AD116" s="566"/>
      <c r="AE116" s="566"/>
      <c r="AF116" s="566"/>
      <c r="AG116" s="566"/>
      <c r="AH116" s="566"/>
      <c r="AI116" s="566"/>
      <c r="AJ116" s="566"/>
      <c r="AK116" s="566"/>
    </row>
    <row r="117" spans="1:37" ht="15.75" x14ac:dyDescent="0.25">
      <c r="A117" s="123"/>
      <c r="B117" s="123"/>
      <c r="C117" s="123"/>
      <c r="D117" s="123"/>
      <c r="E117" s="123"/>
      <c r="F117" s="123"/>
      <c r="G117" s="566"/>
      <c r="H117" s="17"/>
      <c r="I117" s="721" t="s">
        <v>0</v>
      </c>
      <c r="J117" s="723" t="s">
        <v>65</v>
      </c>
      <c r="K117" s="550"/>
      <c r="L117" s="502" t="s">
        <v>124</v>
      </c>
      <c r="M117" s="503"/>
      <c r="N117" s="17"/>
      <c r="O117" s="17"/>
      <c r="P117" s="17"/>
      <c r="Q117" s="17"/>
      <c r="R117" s="17"/>
      <c r="S117" s="122"/>
      <c r="T117" s="566"/>
      <c r="U117" s="566"/>
      <c r="V117" s="566"/>
      <c r="W117" s="566"/>
      <c r="X117" s="566"/>
      <c r="Y117" s="566"/>
      <c r="Z117" s="566"/>
      <c r="AA117" s="566"/>
      <c r="AB117" s="566"/>
      <c r="AC117" s="566"/>
      <c r="AD117" s="566"/>
      <c r="AE117" s="566"/>
      <c r="AF117" s="566"/>
      <c r="AG117" s="566"/>
      <c r="AH117" s="566"/>
      <c r="AI117" s="566"/>
      <c r="AJ117" s="566"/>
      <c r="AK117" s="566"/>
    </row>
    <row r="118" spans="1:37" ht="15.75" thickBot="1" x14ac:dyDescent="0.3">
      <c r="A118" s="123"/>
      <c r="B118" s="123"/>
      <c r="C118" s="123"/>
      <c r="D118" s="123"/>
      <c r="E118" s="123"/>
      <c r="F118" s="123"/>
      <c r="G118" s="566"/>
      <c r="H118" s="17"/>
      <c r="I118" s="722"/>
      <c r="J118" s="724"/>
      <c r="K118" s="551" t="s">
        <v>125</v>
      </c>
      <c r="L118" s="504" t="s">
        <v>126</v>
      </c>
      <c r="M118" s="505" t="s">
        <v>127</v>
      </c>
      <c r="N118" s="17"/>
      <c r="O118" s="17"/>
      <c r="P118" s="17"/>
      <c r="Q118" s="17"/>
      <c r="R118" s="17"/>
      <c r="S118" s="122"/>
      <c r="T118" s="566"/>
      <c r="U118" s="566"/>
      <c r="V118" s="566"/>
      <c r="W118" s="566"/>
      <c r="X118" s="566"/>
      <c r="Y118" s="566"/>
      <c r="Z118" s="566"/>
      <c r="AA118" s="566"/>
      <c r="AB118" s="566"/>
      <c r="AC118" s="566"/>
      <c r="AD118" s="566"/>
      <c r="AE118" s="566"/>
      <c r="AF118" s="566"/>
      <c r="AG118" s="566"/>
      <c r="AH118" s="566"/>
      <c r="AI118" s="566"/>
      <c r="AJ118" s="566"/>
      <c r="AK118" s="566"/>
    </row>
    <row r="119" spans="1:37" x14ac:dyDescent="0.25">
      <c r="A119" s="123"/>
      <c r="B119" s="123"/>
      <c r="C119" s="123"/>
      <c r="D119" s="123"/>
      <c r="E119" s="123"/>
      <c r="F119" s="123"/>
      <c r="G119" s="566"/>
      <c r="H119" s="17"/>
      <c r="I119" s="548" t="s">
        <v>47</v>
      </c>
      <c r="J119" s="546">
        <f>E18</f>
        <v>4</v>
      </c>
      <c r="K119" s="552">
        <f>K82</f>
        <v>4</v>
      </c>
      <c r="L119" s="506">
        <f>L82</f>
        <v>4</v>
      </c>
      <c r="M119" s="507">
        <f>M82</f>
        <v>4</v>
      </c>
      <c r="N119" s="17"/>
      <c r="O119" s="17"/>
      <c r="P119" s="17"/>
      <c r="Q119" s="17"/>
      <c r="R119" s="17"/>
      <c r="S119" s="122"/>
      <c r="T119" s="566"/>
      <c r="U119" s="566"/>
      <c r="V119" s="566"/>
      <c r="W119" s="566"/>
      <c r="X119" s="566"/>
      <c r="Y119" s="566"/>
      <c r="Z119" s="566"/>
      <c r="AA119" s="566"/>
      <c r="AB119" s="566"/>
      <c r="AC119" s="566"/>
      <c r="AD119" s="566"/>
      <c r="AE119" s="566"/>
      <c r="AF119" s="566"/>
      <c r="AG119" s="566"/>
      <c r="AH119" s="566"/>
      <c r="AI119" s="566"/>
      <c r="AJ119" s="566"/>
      <c r="AK119" s="566"/>
    </row>
    <row r="120" spans="1:37" x14ac:dyDescent="0.25">
      <c r="A120" s="123"/>
      <c r="B120" s="123"/>
      <c r="C120" s="123"/>
      <c r="D120" s="123"/>
      <c r="E120" s="123"/>
      <c r="F120" s="123"/>
      <c r="G120" s="566"/>
      <c r="H120" s="17"/>
      <c r="I120" s="491" t="s">
        <v>54</v>
      </c>
      <c r="J120" s="554" t="s">
        <v>457</v>
      </c>
      <c r="K120" s="531">
        <f>(K119-E18)*100/E18</f>
        <v>0</v>
      </c>
      <c r="L120" s="508">
        <f>(L119-E18)*100/E18</f>
        <v>0</v>
      </c>
      <c r="M120" s="509">
        <f>(M119-E18)*100/E18</f>
        <v>0</v>
      </c>
      <c r="N120" s="17"/>
      <c r="O120" s="17"/>
      <c r="P120" s="17"/>
      <c r="Q120" s="17"/>
      <c r="R120" s="17"/>
      <c r="S120" s="122"/>
      <c r="T120" s="566"/>
      <c r="U120" s="566"/>
      <c r="V120" s="566"/>
      <c r="W120" s="566"/>
      <c r="X120" s="566"/>
      <c r="Y120" s="566"/>
      <c r="Z120" s="566"/>
      <c r="AA120" s="566"/>
      <c r="AB120" s="566"/>
      <c r="AC120" s="566"/>
      <c r="AD120" s="566"/>
      <c r="AE120" s="566"/>
      <c r="AF120" s="566"/>
      <c r="AG120" s="566"/>
      <c r="AH120" s="566"/>
      <c r="AI120" s="566"/>
      <c r="AJ120" s="566"/>
      <c r="AK120" s="566"/>
    </row>
    <row r="121" spans="1:37" ht="15.75" thickBot="1" x14ac:dyDescent="0.3">
      <c r="A121" s="123"/>
      <c r="B121" s="123"/>
      <c r="C121" s="123"/>
      <c r="D121" s="123"/>
      <c r="E121" s="123"/>
      <c r="F121" s="123"/>
      <c r="G121" s="566"/>
      <c r="H121" s="17"/>
      <c r="I121" s="549" t="str">
        <f>CONCATENATE("U, B (при I = ",L49," A / 0",CHAR(176),")")</f>
        <v>U, B (при I = 0,1 A / 0°)</v>
      </c>
      <c r="J121" s="555" t="s">
        <v>56</v>
      </c>
      <c r="K121" s="553" t="str">
        <f>CONCATENATE(TEXT(ABS(IF(OR(P51="",P51=0),N51,P51)*IF(E45=1,2*L49,1)),"0,00")," / ",TEXT(L51,"0,0"),CHAR(176))</f>
        <v>0,80 / 90,0°</v>
      </c>
      <c r="L121" s="510" t="str">
        <f>CONCATENATE(TEXT(ABS(IF(OR(Q51="",Q51=0),N51,Q51)*IF(E45=1,2*L49,1)),"0,00")," / ",TEXT(L51,"0,0"),CHAR(176))</f>
        <v>0,80 / 90,0°</v>
      </c>
      <c r="M121" s="511" t="str">
        <f>CONCATENATE(TEXT(ABS(IF(OR(R51="",R51=0),N51,R51)*IF(E45=1,2*L49,1)),"0,00")," / ",TEXT(L51,"0,0"),CHAR(176))</f>
        <v>0,80 / 90,0°</v>
      </c>
      <c r="N121" s="17"/>
      <c r="O121" s="17"/>
      <c r="P121" s="17"/>
      <c r="Q121" s="17"/>
      <c r="R121" s="17"/>
      <c r="S121" s="122"/>
      <c r="T121" s="566"/>
      <c r="U121" s="566"/>
      <c r="V121" s="566"/>
      <c r="W121" s="566"/>
      <c r="X121" s="566"/>
      <c r="Y121" s="566"/>
      <c r="Z121" s="566"/>
      <c r="AA121" s="566"/>
      <c r="AB121" s="566"/>
      <c r="AC121" s="566"/>
      <c r="AD121" s="566"/>
      <c r="AE121" s="566"/>
      <c r="AF121" s="566"/>
      <c r="AG121" s="566"/>
      <c r="AH121" s="566"/>
      <c r="AI121" s="566"/>
      <c r="AJ121" s="566"/>
      <c r="AK121" s="566"/>
    </row>
    <row r="122" spans="1:37" x14ac:dyDescent="0.25">
      <c r="A122" s="123"/>
      <c r="B122" s="123"/>
      <c r="C122" s="123"/>
      <c r="D122" s="123"/>
      <c r="E122" s="123"/>
      <c r="F122" s="123"/>
      <c r="G122" s="566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22"/>
      <c r="T122" s="566"/>
      <c r="U122" s="566"/>
      <c r="V122" s="566"/>
      <c r="W122" s="566"/>
      <c r="X122" s="566"/>
      <c r="Y122" s="566"/>
      <c r="Z122" s="566"/>
      <c r="AA122" s="566"/>
      <c r="AB122" s="566"/>
      <c r="AC122" s="566"/>
      <c r="AD122" s="566"/>
      <c r="AE122" s="566"/>
      <c r="AF122" s="566"/>
      <c r="AG122" s="566"/>
      <c r="AH122" s="566"/>
      <c r="AI122" s="566"/>
      <c r="AJ122" s="566"/>
      <c r="AK122" s="566"/>
    </row>
    <row r="123" spans="1:37" x14ac:dyDescent="0.25">
      <c r="A123" s="123"/>
      <c r="B123" s="123"/>
      <c r="C123" s="123"/>
      <c r="D123" s="123"/>
      <c r="E123" s="123"/>
      <c r="F123" s="123"/>
      <c r="G123" s="566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22"/>
      <c r="T123" s="566"/>
      <c r="U123" s="566"/>
      <c r="V123" s="566"/>
      <c r="W123" s="566"/>
      <c r="X123" s="566"/>
      <c r="Y123" s="566"/>
      <c r="Z123" s="566"/>
      <c r="AA123" s="566"/>
      <c r="AB123" s="566"/>
      <c r="AC123" s="566"/>
      <c r="AD123" s="566"/>
      <c r="AE123" s="566"/>
      <c r="AF123" s="566"/>
      <c r="AG123" s="566"/>
      <c r="AH123" s="566"/>
      <c r="AI123" s="566"/>
      <c r="AJ123" s="566"/>
      <c r="AK123" s="566"/>
    </row>
    <row r="124" spans="1:37" x14ac:dyDescent="0.25">
      <c r="A124" s="123"/>
      <c r="B124" s="123"/>
      <c r="C124" s="123"/>
      <c r="D124" s="123"/>
      <c r="E124" s="123"/>
      <c r="F124" s="123"/>
      <c r="G124" s="566"/>
      <c r="H124" s="566"/>
      <c r="I124" s="566"/>
      <c r="J124" s="566"/>
      <c r="K124" s="566"/>
      <c r="L124" s="566"/>
      <c r="M124" s="566"/>
      <c r="N124" s="566"/>
      <c r="O124" s="566"/>
      <c r="P124" s="566"/>
      <c r="Q124" s="566"/>
      <c r="R124" s="566"/>
      <c r="S124" s="566"/>
      <c r="T124" s="566"/>
      <c r="U124" s="566"/>
      <c r="V124" s="566"/>
      <c r="W124" s="566"/>
      <c r="X124" s="566"/>
      <c r="Y124" s="566"/>
      <c r="Z124" s="566"/>
      <c r="AA124" s="566"/>
      <c r="AB124" s="566"/>
      <c r="AC124" s="566"/>
      <c r="AD124" s="566"/>
      <c r="AE124" s="566"/>
      <c r="AF124" s="566"/>
      <c r="AG124" s="566"/>
      <c r="AH124" s="566"/>
      <c r="AI124" s="566"/>
      <c r="AJ124" s="566"/>
      <c r="AK124" s="566"/>
    </row>
    <row r="125" spans="1:37" x14ac:dyDescent="0.25">
      <c r="A125" s="123"/>
      <c r="B125" s="123"/>
      <c r="C125" s="123"/>
      <c r="D125" s="123"/>
      <c r="E125" s="123"/>
      <c r="F125" s="123"/>
      <c r="G125" s="566"/>
      <c r="H125" s="566"/>
      <c r="I125" s="566"/>
      <c r="J125" s="566"/>
      <c r="K125" s="566"/>
      <c r="L125" s="566"/>
      <c r="M125" s="566"/>
      <c r="N125" s="566"/>
      <c r="O125" s="566"/>
      <c r="P125" s="566"/>
      <c r="Q125" s="566"/>
      <c r="R125" s="566"/>
      <c r="S125" s="566"/>
      <c r="T125" s="566"/>
      <c r="U125" s="566"/>
      <c r="V125" s="566"/>
      <c r="W125" s="566"/>
      <c r="X125" s="566"/>
      <c r="Y125" s="566"/>
      <c r="Z125" s="566"/>
      <c r="AA125" s="566"/>
      <c r="AB125" s="566"/>
      <c r="AC125" s="566"/>
      <c r="AD125" s="566"/>
      <c r="AE125" s="566"/>
      <c r="AF125" s="566"/>
      <c r="AG125" s="566"/>
      <c r="AH125" s="566"/>
      <c r="AI125" s="566"/>
      <c r="AJ125" s="566"/>
      <c r="AK125" s="566"/>
    </row>
    <row r="126" spans="1:37" x14ac:dyDescent="0.25">
      <c r="A126" s="123"/>
      <c r="B126" s="123"/>
      <c r="C126" s="123"/>
      <c r="D126" s="123"/>
      <c r="E126" s="123"/>
      <c r="F126" s="123"/>
      <c r="G126" s="566"/>
      <c r="H126" s="566"/>
      <c r="I126" s="566"/>
      <c r="J126" s="566"/>
      <c r="K126" s="566"/>
      <c r="L126" s="566"/>
      <c r="M126" s="566"/>
      <c r="N126" s="566"/>
      <c r="O126" s="566"/>
      <c r="P126" s="566"/>
      <c r="Q126" s="566"/>
      <c r="R126" s="566"/>
      <c r="S126" s="566"/>
      <c r="T126" s="566"/>
      <c r="U126" s="566"/>
      <c r="V126" s="566"/>
      <c r="W126" s="566"/>
      <c r="X126" s="566"/>
      <c r="Y126" s="566"/>
      <c r="Z126" s="566"/>
      <c r="AA126" s="566"/>
      <c r="AB126" s="566"/>
      <c r="AC126" s="566"/>
      <c r="AD126" s="566"/>
      <c r="AE126" s="566"/>
      <c r="AF126" s="566"/>
      <c r="AG126" s="566"/>
      <c r="AH126" s="566"/>
      <c r="AI126" s="566"/>
      <c r="AJ126" s="566"/>
      <c r="AK126" s="566"/>
    </row>
  </sheetData>
  <sheetProtection sheet="1" objects="1" scenarios="1" selectLockedCells="1"/>
  <mergeCells count="30">
    <mergeCell ref="V28:W29"/>
    <mergeCell ref="I88:I89"/>
    <mergeCell ref="J88:J89"/>
    <mergeCell ref="I64:J64"/>
    <mergeCell ref="I65:J65"/>
    <mergeCell ref="I66:J66"/>
    <mergeCell ref="I67:J67"/>
    <mergeCell ref="I68:J68"/>
    <mergeCell ref="I80:J81"/>
    <mergeCell ref="I82:J82"/>
    <mergeCell ref="I83:J83"/>
    <mergeCell ref="I69:J69"/>
    <mergeCell ref="I70:J70"/>
    <mergeCell ref="I71:J71"/>
    <mergeCell ref="I72:J72"/>
    <mergeCell ref="I73:J73"/>
    <mergeCell ref="I117:I118"/>
    <mergeCell ref="J117:J118"/>
    <mergeCell ref="K88:M88"/>
    <mergeCell ref="A1:B3"/>
    <mergeCell ref="I76:J76"/>
    <mergeCell ref="I61:J61"/>
    <mergeCell ref="I62:J62"/>
    <mergeCell ref="I63:J63"/>
    <mergeCell ref="C1:K3"/>
    <mergeCell ref="K59:M59"/>
    <mergeCell ref="I56:I57"/>
    <mergeCell ref="I59:J60"/>
    <mergeCell ref="I74:J74"/>
    <mergeCell ref="I75:J75"/>
  </mergeCells>
  <hyperlinks>
    <hyperlink ref="A1:B3" location="Содержание!D32" display=")"/>
  </hyperlinks>
  <pageMargins left="0.7" right="0.7" top="0.75" bottom="0.75" header="0.3" footer="0.3"/>
  <pageSetup paperSize="9" orientation="portrait" horizontalDpi="300" r:id="rId1"/>
  <drawing r:id="rId2"/>
  <legacyDrawing r:id="rId3"/>
  <oleObjects>
    <mc:AlternateContent xmlns:mc="http://schemas.openxmlformats.org/markup-compatibility/2006">
      <mc:Choice Requires="x14">
        <oleObject progId="Visio.Drawing.15" shapeId="9651351" r:id="rId4">
          <objectPr defaultSize="0" r:id="rId5">
            <anchor moveWithCells="1">
              <from>
                <xdr:col>1</xdr:col>
                <xdr:colOff>0</xdr:colOff>
                <xdr:row>56</xdr:row>
                <xdr:rowOff>0</xdr:rowOff>
              </from>
              <to>
                <xdr:col>4</xdr:col>
                <xdr:colOff>609600</xdr:colOff>
                <xdr:row>91</xdr:row>
                <xdr:rowOff>142875</xdr:rowOff>
              </to>
            </anchor>
          </objectPr>
        </oleObject>
      </mc:Choice>
      <mc:Fallback>
        <oleObject progId="Visio.Drawing.15" shapeId="9651351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/>
  <dimension ref="A1:AK135"/>
  <sheetViews>
    <sheetView zoomScale="80" zoomScaleNormal="80" workbookViewId="0">
      <selection activeCell="E18" sqref="E18"/>
    </sheetView>
  </sheetViews>
  <sheetFormatPr defaultRowHeight="15" x14ac:dyDescent="0.25"/>
  <cols>
    <col min="1" max="1" width="4.42578125" customWidth="1"/>
    <col min="2" max="2" width="4.28515625" customWidth="1"/>
    <col min="3" max="3" width="45.28515625" customWidth="1"/>
    <col min="4" max="4" width="14.5703125" bestFit="1" customWidth="1"/>
    <col min="5" max="5" width="13.7109375" customWidth="1"/>
    <col min="6" max="7" width="4.5703125" customWidth="1"/>
    <col min="8" max="8" width="4.140625" customWidth="1"/>
    <col min="9" max="9" width="28.5703125" customWidth="1"/>
    <col min="10" max="10" width="10.7109375" customWidth="1"/>
    <col min="11" max="11" width="14.140625" customWidth="1"/>
    <col min="12" max="12" width="14.28515625" customWidth="1"/>
    <col min="13" max="13" width="14.5703125" customWidth="1"/>
    <col min="14" max="14" width="12.5703125" customWidth="1"/>
    <col min="15" max="15" width="9.140625" customWidth="1"/>
    <col min="16" max="17" width="10.7109375" customWidth="1"/>
    <col min="18" max="18" width="10.5703125" customWidth="1"/>
    <col min="19" max="21" width="4.5703125" customWidth="1"/>
    <col min="22" max="22" width="11" customWidth="1"/>
    <col min="23" max="23" width="10.28515625" customWidth="1"/>
    <col min="26" max="26" width="10.5703125" customWidth="1"/>
    <col min="28" max="28" width="9.140625" customWidth="1"/>
    <col min="30" max="30" width="11" customWidth="1"/>
    <col min="31" max="31" width="9.140625" customWidth="1"/>
    <col min="36" max="36" width="4.5703125" customWidth="1"/>
  </cols>
  <sheetData>
    <row r="1" spans="1:37" ht="15" customHeight="1" x14ac:dyDescent="0.25">
      <c r="A1" s="727" t="s">
        <v>427</v>
      </c>
      <c r="B1" s="727"/>
      <c r="C1" s="736" t="s">
        <v>189</v>
      </c>
      <c r="D1" s="736"/>
      <c r="E1" s="736"/>
      <c r="F1" s="736"/>
      <c r="G1" s="736"/>
      <c r="H1" s="736"/>
      <c r="I1" s="736"/>
      <c r="J1" s="736"/>
      <c r="K1" s="736"/>
      <c r="L1" s="736"/>
      <c r="M1" s="736"/>
      <c r="N1" s="736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</row>
    <row r="2" spans="1:37" ht="15" customHeight="1" x14ac:dyDescent="0.25">
      <c r="A2" s="727"/>
      <c r="B2" s="727"/>
      <c r="C2" s="736"/>
      <c r="D2" s="736"/>
      <c r="E2" s="736"/>
      <c r="F2" s="736"/>
      <c r="G2" s="736"/>
      <c r="H2" s="736"/>
      <c r="I2" s="736"/>
      <c r="J2" s="736"/>
      <c r="K2" s="736"/>
      <c r="L2" s="736"/>
      <c r="M2" s="736"/>
      <c r="N2" s="736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</row>
    <row r="3" spans="1:37" ht="15" customHeight="1" x14ac:dyDescent="0.25">
      <c r="A3" s="727"/>
      <c r="B3" s="727"/>
      <c r="C3" s="736"/>
      <c r="D3" s="736"/>
      <c r="E3" s="736"/>
      <c r="F3" s="736"/>
      <c r="G3" s="736"/>
      <c r="H3" s="736"/>
      <c r="I3" s="736"/>
      <c r="J3" s="736"/>
      <c r="K3" s="736"/>
      <c r="L3" s="736"/>
      <c r="M3" s="736"/>
      <c r="N3" s="736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</row>
    <row r="4" spans="1:37" x14ac:dyDescent="0.25">
      <c r="A4" s="633"/>
      <c r="B4" s="633"/>
      <c r="C4" s="633"/>
      <c r="D4" s="633"/>
      <c r="E4" s="633"/>
      <c r="F4" s="634"/>
      <c r="G4" s="633"/>
      <c r="H4" s="635"/>
      <c r="I4" s="633"/>
      <c r="J4" s="633"/>
      <c r="K4" s="633"/>
      <c r="L4" s="633"/>
      <c r="M4" s="633"/>
      <c r="N4" s="633"/>
      <c r="O4" s="633"/>
      <c r="P4" s="633"/>
      <c r="Q4" s="633"/>
      <c r="R4" s="633"/>
      <c r="S4" s="634"/>
      <c r="T4" s="635"/>
      <c r="U4" s="635"/>
      <c r="V4" s="633"/>
      <c r="W4" s="633"/>
      <c r="X4" s="633"/>
      <c r="Y4" s="633"/>
      <c r="Z4" s="633"/>
      <c r="AA4" s="633"/>
      <c r="AB4" s="633"/>
      <c r="AC4" s="633"/>
      <c r="AD4" s="633"/>
      <c r="AE4" s="633"/>
      <c r="AF4" s="633"/>
      <c r="AG4" s="633"/>
      <c r="AH4" s="633"/>
      <c r="AI4" s="633"/>
      <c r="AJ4" s="634"/>
      <c r="AK4" s="123"/>
    </row>
    <row r="5" spans="1:37" x14ac:dyDescent="0.25">
      <c r="A5" s="633"/>
      <c r="B5" s="636" t="s">
        <v>506</v>
      </c>
      <c r="C5" s="636"/>
      <c r="D5" s="633"/>
      <c r="E5" s="633"/>
      <c r="F5" s="634"/>
      <c r="G5" s="633"/>
      <c r="H5" s="635"/>
      <c r="I5" s="633"/>
      <c r="J5" s="633"/>
      <c r="K5" s="633"/>
      <c r="L5" s="633"/>
      <c r="M5" s="633"/>
      <c r="N5" s="633"/>
      <c r="O5" s="633"/>
      <c r="P5" s="633"/>
      <c r="Q5" s="633"/>
      <c r="R5" s="633"/>
      <c r="S5" s="634"/>
      <c r="T5" s="635"/>
      <c r="U5" s="635"/>
      <c r="V5" s="633"/>
      <c r="W5" s="633"/>
      <c r="X5" s="633"/>
      <c r="Y5" s="633"/>
      <c r="Z5" s="633"/>
      <c r="AA5" s="633"/>
      <c r="AB5" s="633"/>
      <c r="AC5" s="633"/>
      <c r="AD5" s="633"/>
      <c r="AE5" s="633"/>
      <c r="AF5" s="633"/>
      <c r="AG5" s="633"/>
      <c r="AH5" s="633"/>
      <c r="AI5" s="633"/>
      <c r="AJ5" s="634"/>
      <c r="AK5" s="123"/>
    </row>
    <row r="6" spans="1:37" x14ac:dyDescent="0.25">
      <c r="A6" s="633"/>
      <c r="B6" s="636" t="s">
        <v>481</v>
      </c>
      <c r="C6" s="636"/>
      <c r="D6" s="633"/>
      <c r="E6" s="633"/>
      <c r="F6" s="634"/>
      <c r="G6" s="633"/>
      <c r="H6" s="635"/>
      <c r="I6" s="633"/>
      <c r="J6" s="633"/>
      <c r="K6" s="633"/>
      <c r="L6" s="633"/>
      <c r="M6" s="633"/>
      <c r="N6" s="633"/>
      <c r="O6" s="633"/>
      <c r="P6" s="633"/>
      <c r="Q6" s="633"/>
      <c r="R6" s="633"/>
      <c r="S6" s="634"/>
      <c r="T6" s="635"/>
      <c r="U6" s="635"/>
      <c r="V6" s="633"/>
      <c r="W6" s="633"/>
      <c r="X6" s="633"/>
      <c r="Y6" s="633"/>
      <c r="Z6" s="633"/>
      <c r="AA6" s="633"/>
      <c r="AB6" s="633"/>
      <c r="AC6" s="633"/>
      <c r="AD6" s="633"/>
      <c r="AE6" s="633"/>
      <c r="AF6" s="633"/>
      <c r="AG6" s="633"/>
      <c r="AH6" s="633"/>
      <c r="AI6" s="633"/>
      <c r="AJ6" s="634"/>
      <c r="AK6" s="123"/>
    </row>
    <row r="7" spans="1:37" x14ac:dyDescent="0.25">
      <c r="A7" s="633"/>
      <c r="B7" s="636"/>
      <c r="C7" s="636" t="s">
        <v>485</v>
      </c>
      <c r="D7" s="633"/>
      <c r="E7" s="633"/>
      <c r="F7" s="634"/>
      <c r="G7" s="633"/>
      <c r="H7" s="635"/>
      <c r="I7" s="633"/>
      <c r="J7" s="633"/>
      <c r="K7" s="633"/>
      <c r="L7" s="633"/>
      <c r="M7" s="633"/>
      <c r="N7" s="633"/>
      <c r="O7" s="633"/>
      <c r="P7" s="633"/>
      <c r="Q7" s="633"/>
      <c r="R7" s="633"/>
      <c r="S7" s="634"/>
      <c r="T7" s="635"/>
      <c r="U7" s="635"/>
      <c r="V7" s="633"/>
      <c r="W7" s="633"/>
      <c r="X7" s="633"/>
      <c r="Y7" s="633"/>
      <c r="Z7" s="633"/>
      <c r="AA7" s="633"/>
      <c r="AB7" s="633"/>
      <c r="AC7" s="633"/>
      <c r="AD7" s="633"/>
      <c r="AE7" s="633"/>
      <c r="AF7" s="633"/>
      <c r="AG7" s="633"/>
      <c r="AH7" s="633"/>
      <c r="AI7" s="633"/>
      <c r="AJ7" s="634"/>
      <c r="AK7" s="123"/>
    </row>
    <row r="8" spans="1:37" x14ac:dyDescent="0.25">
      <c r="A8" s="633"/>
      <c r="B8" s="636"/>
      <c r="C8" s="636" t="s">
        <v>482</v>
      </c>
      <c r="D8" s="633"/>
      <c r="E8" s="633"/>
      <c r="F8" s="634"/>
      <c r="G8" s="633"/>
      <c r="H8" s="635"/>
      <c r="I8" s="633"/>
      <c r="J8" s="633"/>
      <c r="K8" s="633"/>
      <c r="L8" s="633"/>
      <c r="M8" s="633"/>
      <c r="N8" s="633"/>
      <c r="O8" s="633"/>
      <c r="P8" s="633"/>
      <c r="Q8" s="633"/>
      <c r="R8" s="633"/>
      <c r="S8" s="634"/>
      <c r="T8" s="635"/>
      <c r="U8" s="635"/>
      <c r="V8" s="633"/>
      <c r="W8" s="633"/>
      <c r="X8" s="633"/>
      <c r="Y8" s="633"/>
      <c r="Z8" s="633"/>
      <c r="AA8" s="633"/>
      <c r="AB8" s="633"/>
      <c r="AC8" s="633"/>
      <c r="AD8" s="633"/>
      <c r="AE8" s="633"/>
      <c r="AF8" s="633"/>
      <c r="AG8" s="633"/>
      <c r="AH8" s="633"/>
      <c r="AI8" s="633"/>
      <c r="AJ8" s="634"/>
      <c r="AK8" s="123"/>
    </row>
    <row r="9" spans="1:37" x14ac:dyDescent="0.25">
      <c r="A9" s="633"/>
      <c r="B9" s="636"/>
      <c r="C9" s="636" t="s">
        <v>483</v>
      </c>
      <c r="D9" s="633"/>
      <c r="E9" s="633"/>
      <c r="F9" s="634"/>
      <c r="G9" s="633"/>
      <c r="H9" s="635"/>
      <c r="I9" s="633"/>
      <c r="J9" s="633"/>
      <c r="K9" s="633"/>
      <c r="L9" s="633"/>
      <c r="M9" s="633"/>
      <c r="N9" s="633"/>
      <c r="O9" s="633"/>
      <c r="P9" s="633"/>
      <c r="Q9" s="633"/>
      <c r="R9" s="633"/>
      <c r="S9" s="634"/>
      <c r="T9" s="635"/>
      <c r="U9" s="635"/>
      <c r="V9" s="633"/>
      <c r="W9" s="633"/>
      <c r="X9" s="633"/>
      <c r="Y9" s="633"/>
      <c r="Z9" s="633"/>
      <c r="AA9" s="633"/>
      <c r="AB9" s="633"/>
      <c r="AC9" s="633"/>
      <c r="AD9" s="633"/>
      <c r="AE9" s="633"/>
      <c r="AF9" s="633"/>
      <c r="AG9" s="633"/>
      <c r="AH9" s="633"/>
      <c r="AI9" s="633"/>
      <c r="AJ9" s="634"/>
      <c r="AK9" s="123"/>
    </row>
    <row r="10" spans="1:37" x14ac:dyDescent="0.25">
      <c r="A10" s="633"/>
      <c r="B10" s="636"/>
      <c r="C10" s="636" t="s">
        <v>484</v>
      </c>
      <c r="D10" s="633"/>
      <c r="E10" s="633"/>
      <c r="F10" s="634"/>
      <c r="G10" s="633"/>
      <c r="H10" s="635"/>
      <c r="I10" s="633"/>
      <c r="J10" s="633"/>
      <c r="K10" s="633"/>
      <c r="L10" s="633"/>
      <c r="M10" s="633"/>
      <c r="N10" s="633"/>
      <c r="O10" s="633"/>
      <c r="P10" s="633"/>
      <c r="Q10" s="633"/>
      <c r="R10" s="633"/>
      <c r="S10" s="634"/>
      <c r="T10" s="635"/>
      <c r="U10" s="635"/>
      <c r="V10" s="633"/>
      <c r="W10" s="633"/>
      <c r="X10" s="633"/>
      <c r="Y10" s="633"/>
      <c r="Z10" s="633"/>
      <c r="AA10" s="633"/>
      <c r="AB10" s="633"/>
      <c r="AC10" s="633"/>
      <c r="AD10" s="633"/>
      <c r="AE10" s="633"/>
      <c r="AF10" s="633"/>
      <c r="AG10" s="633"/>
      <c r="AH10" s="633"/>
      <c r="AI10" s="633"/>
      <c r="AJ10" s="634"/>
      <c r="AK10" s="123"/>
    </row>
    <row r="11" spans="1:37" x14ac:dyDescent="0.25">
      <c r="A11" s="633"/>
      <c r="B11" s="636" t="s">
        <v>488</v>
      </c>
      <c r="C11" s="636"/>
      <c r="D11" s="633"/>
      <c r="E11" s="633"/>
      <c r="F11" s="634"/>
      <c r="G11" s="633"/>
      <c r="H11" s="635"/>
      <c r="I11" s="633"/>
      <c r="J11" s="633"/>
      <c r="K11" s="633"/>
      <c r="L11" s="633"/>
      <c r="M11" s="633"/>
      <c r="N11" s="633"/>
      <c r="O11" s="633"/>
      <c r="P11" s="633"/>
      <c r="Q11" s="633"/>
      <c r="R11" s="633"/>
      <c r="S11" s="634"/>
      <c r="T11" s="635"/>
      <c r="U11" s="635"/>
      <c r="V11" s="633"/>
      <c r="W11" s="633"/>
      <c r="X11" s="633"/>
      <c r="Y11" s="633"/>
      <c r="Z11" s="633"/>
      <c r="AA11" s="633"/>
      <c r="AB11" s="633"/>
      <c r="AC11" s="633"/>
      <c r="AD11" s="633"/>
      <c r="AE11" s="633"/>
      <c r="AF11" s="633"/>
      <c r="AG11" s="633"/>
      <c r="AH11" s="633"/>
      <c r="AI11" s="633"/>
      <c r="AJ11" s="634"/>
      <c r="AK11" s="123"/>
    </row>
    <row r="12" spans="1:37" x14ac:dyDescent="0.25">
      <c r="A12" s="633"/>
      <c r="B12" s="633"/>
      <c r="C12" s="633"/>
      <c r="D12" s="633"/>
      <c r="E12" s="633"/>
      <c r="F12" s="634"/>
      <c r="G12" s="633"/>
      <c r="H12" s="635"/>
      <c r="I12" s="633"/>
      <c r="J12" s="633"/>
      <c r="K12" s="633"/>
      <c r="L12" s="633"/>
      <c r="M12" s="633"/>
      <c r="N12" s="633"/>
      <c r="O12" s="633"/>
      <c r="P12" s="633"/>
      <c r="Q12" s="633"/>
      <c r="R12" s="633"/>
      <c r="S12" s="634"/>
      <c r="T12" s="635"/>
      <c r="U12" s="635"/>
      <c r="V12" s="633"/>
      <c r="W12" s="633"/>
      <c r="X12" s="633"/>
      <c r="Y12" s="633"/>
      <c r="Z12" s="633"/>
      <c r="AA12" s="633"/>
      <c r="AB12" s="633"/>
      <c r="AC12" s="633"/>
      <c r="AD12" s="633"/>
      <c r="AE12" s="633"/>
      <c r="AF12" s="633"/>
      <c r="AG12" s="633"/>
      <c r="AH12" s="633"/>
      <c r="AI12" s="633"/>
      <c r="AJ12" s="634"/>
      <c r="AK12" s="123"/>
    </row>
    <row r="13" spans="1:37" x14ac:dyDescent="0.25">
      <c r="A13" s="17"/>
      <c r="B13" s="43"/>
      <c r="C13" s="43"/>
      <c r="D13" s="43"/>
      <c r="E13" s="43"/>
      <c r="F13" s="122"/>
      <c r="G13" s="632"/>
      <c r="H13" s="44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122"/>
      <c r="T13" s="632"/>
      <c r="U13" s="44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122"/>
      <c r="AK13" s="123"/>
    </row>
    <row r="14" spans="1:37" ht="18" x14ac:dyDescent="0.25">
      <c r="A14" s="17"/>
      <c r="B14" s="7" t="s">
        <v>82</v>
      </c>
      <c r="C14" s="5"/>
      <c r="D14" s="5"/>
      <c r="E14" s="5"/>
      <c r="F14" s="122"/>
      <c r="G14" s="632"/>
      <c r="H14" s="44"/>
      <c r="I14" s="8" t="s">
        <v>487</v>
      </c>
      <c r="J14" s="4"/>
      <c r="K14" s="4"/>
      <c r="L14" s="4"/>
      <c r="M14" s="4"/>
      <c r="N14" s="4"/>
      <c r="O14" s="4"/>
      <c r="P14" s="4"/>
      <c r="Q14" s="4"/>
      <c r="R14" s="4"/>
      <c r="S14" s="122"/>
      <c r="T14" s="632"/>
      <c r="U14" s="44"/>
      <c r="V14" s="489" t="s">
        <v>160</v>
      </c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22"/>
      <c r="AK14" s="123"/>
    </row>
    <row r="15" spans="1:37" ht="15.75" thickBot="1" x14ac:dyDescent="0.3">
      <c r="A15" s="17"/>
      <c r="B15" s="43"/>
      <c r="C15" s="43"/>
      <c r="D15" s="43"/>
      <c r="E15" s="43"/>
      <c r="F15" s="122"/>
      <c r="G15" s="632"/>
      <c r="H15" s="44"/>
      <c r="I15" s="43"/>
      <c r="J15" s="43"/>
      <c r="K15" s="43"/>
      <c r="L15" s="43"/>
      <c r="M15" s="43"/>
      <c r="N15" s="53"/>
      <c r="O15" s="43"/>
      <c r="P15" s="43"/>
      <c r="Q15" s="43"/>
      <c r="R15" s="43"/>
      <c r="S15" s="122"/>
      <c r="T15" s="632"/>
      <c r="U15" s="44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122"/>
      <c r="AK15" s="123"/>
    </row>
    <row r="16" spans="1:37" ht="16.5" thickBot="1" x14ac:dyDescent="0.3">
      <c r="A16" s="17"/>
      <c r="B16" s="45" t="s">
        <v>62</v>
      </c>
      <c r="C16" s="45" t="s">
        <v>63</v>
      </c>
      <c r="D16" s="45" t="s">
        <v>64</v>
      </c>
      <c r="E16" s="45" t="s">
        <v>65</v>
      </c>
      <c r="F16" s="122"/>
      <c r="G16" s="632"/>
      <c r="H16" s="44"/>
      <c r="I16" s="165" t="s">
        <v>162</v>
      </c>
      <c r="J16" s="17"/>
      <c r="K16" s="17"/>
      <c r="L16" s="17"/>
      <c r="M16" s="17"/>
      <c r="N16" s="17"/>
      <c r="O16" s="17"/>
      <c r="P16" s="17"/>
      <c r="Q16" s="17"/>
      <c r="R16" s="17"/>
      <c r="S16" s="122"/>
      <c r="T16" s="632"/>
      <c r="U16" s="44"/>
      <c r="V16" s="127" t="s">
        <v>449</v>
      </c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122"/>
      <c r="AK16" s="123"/>
    </row>
    <row r="17" spans="1:37" x14ac:dyDescent="0.25">
      <c r="A17" s="17"/>
      <c r="B17" s="43"/>
      <c r="C17" s="43"/>
      <c r="D17" s="43"/>
      <c r="E17" s="43"/>
      <c r="F17" s="122"/>
      <c r="G17" s="632"/>
      <c r="H17" s="44"/>
      <c r="I17" s="44" t="s">
        <v>223</v>
      </c>
      <c r="J17" s="17"/>
      <c r="K17" s="17"/>
      <c r="L17" s="17"/>
      <c r="M17" s="17"/>
      <c r="N17" s="17"/>
      <c r="O17" s="17"/>
      <c r="P17" s="17"/>
      <c r="Q17" s="17"/>
      <c r="R17" s="17"/>
      <c r="S17" s="122"/>
      <c r="T17" s="632"/>
      <c r="U17" s="44"/>
      <c r="V17" s="6" t="s">
        <v>491</v>
      </c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122"/>
      <c r="AK17" s="123"/>
    </row>
    <row r="18" spans="1:37" ht="15.75" thickBot="1" x14ac:dyDescent="0.3">
      <c r="A18" s="17"/>
      <c r="B18" s="46">
        <v>1</v>
      </c>
      <c r="C18" s="47" t="s">
        <v>83</v>
      </c>
      <c r="D18" s="47" t="s">
        <v>86</v>
      </c>
      <c r="E18" s="1">
        <v>4</v>
      </c>
      <c r="F18" s="151" t="str">
        <f>IF(ISNUMBER(E18),"","Err")</f>
        <v/>
      </c>
      <c r="G18" s="644"/>
      <c r="H18" s="44"/>
      <c r="I18" s="44" t="s">
        <v>224</v>
      </c>
      <c r="J18" s="17"/>
      <c r="K18" s="17"/>
      <c r="L18" s="17"/>
      <c r="M18" s="17"/>
      <c r="N18" s="17"/>
      <c r="O18" s="17"/>
      <c r="P18" s="17"/>
      <c r="Q18" s="17"/>
      <c r="R18" s="17"/>
      <c r="S18" s="122"/>
      <c r="T18" s="632"/>
      <c r="U18" s="44"/>
      <c r="V18" s="6" t="s">
        <v>492</v>
      </c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122"/>
      <c r="AK18" s="123"/>
    </row>
    <row r="19" spans="1:37" ht="15.75" thickBot="1" x14ac:dyDescent="0.3">
      <c r="A19" s="17"/>
      <c r="B19" s="46">
        <v>2</v>
      </c>
      <c r="C19" s="47" t="s">
        <v>84</v>
      </c>
      <c r="D19" s="47" t="s">
        <v>87</v>
      </c>
      <c r="E19" s="1">
        <v>2</v>
      </c>
      <c r="F19" s="151" t="str">
        <f>IF(ISNUMBER(E19),"","Err")</f>
        <v/>
      </c>
      <c r="G19" s="644"/>
      <c r="H19" s="44"/>
      <c r="I19" s="640" t="s">
        <v>498</v>
      </c>
      <c r="J19" s="17"/>
      <c r="K19" s="17"/>
      <c r="L19" s="17"/>
      <c r="M19" s="17"/>
      <c r="N19" s="17"/>
      <c r="O19" s="17"/>
      <c r="P19" s="17"/>
      <c r="Q19" s="17"/>
      <c r="R19" s="17"/>
      <c r="S19" s="122"/>
      <c r="T19" s="632"/>
      <c r="U19" s="44"/>
      <c r="V19" s="6" t="s">
        <v>490</v>
      </c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122"/>
      <c r="AK19" s="123"/>
    </row>
    <row r="20" spans="1:37" ht="15.75" thickBot="1" x14ac:dyDescent="0.3">
      <c r="A20" s="17"/>
      <c r="B20" s="46"/>
      <c r="C20" s="47"/>
      <c r="D20" s="47"/>
      <c r="E20" s="120"/>
      <c r="F20" s="122"/>
      <c r="G20" s="632"/>
      <c r="H20" s="44"/>
      <c r="I20" s="640" t="s">
        <v>499</v>
      </c>
      <c r="J20" s="17"/>
      <c r="K20" s="17"/>
      <c r="L20" s="17"/>
      <c r="M20" s="17"/>
      <c r="N20" s="17"/>
      <c r="O20" s="17"/>
      <c r="P20" s="17"/>
      <c r="Q20" s="17"/>
      <c r="R20" s="17"/>
      <c r="S20" s="122"/>
      <c r="T20" s="632"/>
      <c r="U20" s="44"/>
      <c r="V20" s="6" t="s">
        <v>489</v>
      </c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122"/>
      <c r="AK20" s="123"/>
    </row>
    <row r="21" spans="1:37" ht="15.75" thickBot="1" x14ac:dyDescent="0.3">
      <c r="A21" s="17"/>
      <c r="B21" s="46">
        <v>3</v>
      </c>
      <c r="C21" s="43" t="s">
        <v>85</v>
      </c>
      <c r="D21" s="43" t="s">
        <v>22</v>
      </c>
      <c r="E21" s="3">
        <v>70</v>
      </c>
      <c r="F21" s="151" t="str">
        <f>IF(ISNUMBER(E21),"","Err")</f>
        <v/>
      </c>
      <c r="G21" s="644"/>
      <c r="H21" s="44"/>
      <c r="I21" s="44" t="s">
        <v>166</v>
      </c>
      <c r="J21" s="17"/>
      <c r="K21" s="17"/>
      <c r="L21" s="17"/>
      <c r="M21" s="17"/>
      <c r="N21" s="17"/>
      <c r="O21" s="17"/>
      <c r="P21" s="17"/>
      <c r="Q21" s="17"/>
      <c r="R21" s="17"/>
      <c r="S21" s="122"/>
      <c r="T21" s="632"/>
      <c r="U21" s="44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122"/>
      <c r="AK21" s="123"/>
    </row>
    <row r="22" spans="1:37" ht="15.75" thickBot="1" x14ac:dyDescent="0.3">
      <c r="A22" s="17"/>
      <c r="B22" s="46">
        <v>4</v>
      </c>
      <c r="C22" s="43" t="s">
        <v>90</v>
      </c>
      <c r="D22" s="43" t="s">
        <v>23</v>
      </c>
      <c r="E22" s="3">
        <v>-20</v>
      </c>
      <c r="F22" s="151" t="str">
        <f>IF(ISNUMBER(E22),"","Err")</f>
        <v/>
      </c>
      <c r="G22" s="644"/>
      <c r="H22" s="44"/>
      <c r="I22" s="44" t="s">
        <v>500</v>
      </c>
      <c r="J22" s="17"/>
      <c r="K22" s="17"/>
      <c r="L22" s="17"/>
      <c r="M22" s="17"/>
      <c r="N22" s="17"/>
      <c r="O22" s="17"/>
      <c r="P22" s="17"/>
      <c r="Q22" s="17"/>
      <c r="R22" s="17"/>
      <c r="S22" s="122"/>
      <c r="T22" s="632"/>
      <c r="U22" s="44"/>
      <c r="V22" s="53" t="str">
        <f>IF(E53=1,"Zф, Ом","Uф, B")</f>
        <v>Uф, B</v>
      </c>
      <c r="W22" s="3">
        <v>4.5</v>
      </c>
      <c r="X22" s="156" t="str">
        <f>IF(ISNUMBER(W22),"","Err")</f>
        <v/>
      </c>
      <c r="Y22" s="81" t="s">
        <v>200</v>
      </c>
      <c r="Z22" s="82" t="s">
        <v>201</v>
      </c>
      <c r="AA22" s="53" t="s">
        <v>214</v>
      </c>
      <c r="AB22" s="81" t="s">
        <v>181</v>
      </c>
      <c r="AC22" s="82" t="s">
        <v>182</v>
      </c>
      <c r="AD22" s="53" t="s">
        <v>214</v>
      </c>
      <c r="AE22" s="81" t="s">
        <v>176</v>
      </c>
      <c r="AF22" s="82" t="s">
        <v>182</v>
      </c>
      <c r="AG22" s="43"/>
      <c r="AH22" s="43"/>
      <c r="AI22" s="43"/>
      <c r="AJ22" s="122"/>
      <c r="AK22" s="123"/>
    </row>
    <row r="23" spans="1:37" ht="15.75" thickBot="1" x14ac:dyDescent="0.3">
      <c r="A23" s="17"/>
      <c r="B23" s="46">
        <v>5</v>
      </c>
      <c r="C23" s="43" t="s">
        <v>89</v>
      </c>
      <c r="D23" s="43" t="s">
        <v>24</v>
      </c>
      <c r="E23" s="3">
        <v>115</v>
      </c>
      <c r="F23" s="151" t="str">
        <f>IF(ISNUMBER(E23),"","Err")</f>
        <v/>
      </c>
      <c r="G23" s="644"/>
      <c r="H23" s="44"/>
      <c r="I23" s="326" t="s">
        <v>501</v>
      </c>
      <c r="J23" s="17"/>
      <c r="K23" s="17"/>
      <c r="L23" s="17"/>
      <c r="M23" s="17"/>
      <c r="N23" s="17"/>
      <c r="O23" s="17"/>
      <c r="P23" s="17"/>
      <c r="Q23" s="17"/>
      <c r="R23" s="17"/>
      <c r="S23" s="122"/>
      <c r="T23" s="632"/>
      <c r="U23" s="44"/>
      <c r="V23" s="53" t="s">
        <v>182</v>
      </c>
      <c r="W23" s="3">
        <v>35</v>
      </c>
      <c r="X23" s="156" t="str">
        <f>IF(ISNUMBER(W23),"","Err")</f>
        <v/>
      </c>
      <c r="Y23" s="84">
        <f>SQRT(POWER(Y26,2)+POWER(Z26,2))</f>
        <v>3.5982831926044501</v>
      </c>
      <c r="Z23" s="85">
        <f>IF(Y26=0,90,DEGREES(ATAN(Z26/Y26)))+IF(Z26&gt;=0,IF(Y26&gt;=0,0,180),IF(Y26&gt;0,360,180))</f>
        <v>27.038862467208947</v>
      </c>
      <c r="AA23" s="53" t="s">
        <v>214</v>
      </c>
      <c r="AB23" s="84">
        <f>SQRT(POWER(AB26,2)+POWER(AC26,2))</f>
        <v>4.5</v>
      </c>
      <c r="AC23" s="85">
        <f>DEGREES(ATAN(AC26/AB26))+IF(AC26&gt;=0,IF(AB26&gt;=0,0,180),IF(AB26&gt;0,360,180))</f>
        <v>35</v>
      </c>
      <c r="AD23" s="53" t="s">
        <v>214</v>
      </c>
      <c r="AE23" s="84">
        <f>IF(E53=1,W22*E49,W22)</f>
        <v>4.5</v>
      </c>
      <c r="AF23" s="86">
        <f>AC23</f>
        <v>35</v>
      </c>
      <c r="AG23" s="43"/>
      <c r="AH23" s="43"/>
      <c r="AI23" s="43"/>
      <c r="AJ23" s="122"/>
      <c r="AK23" s="123"/>
    </row>
    <row r="24" spans="1:37" ht="15.75" thickBot="1" x14ac:dyDescent="0.3">
      <c r="A24" s="17"/>
      <c r="B24" s="46">
        <v>6</v>
      </c>
      <c r="C24" s="17" t="s">
        <v>88</v>
      </c>
      <c r="D24" s="43" t="s">
        <v>95</v>
      </c>
      <c r="E24" s="3">
        <v>-12</v>
      </c>
      <c r="F24" s="151" t="str">
        <f>IF(ISNUMBER(E24),"","Err")</f>
        <v/>
      </c>
      <c r="G24" s="644"/>
      <c r="H24" s="44"/>
      <c r="I24" s="44" t="s">
        <v>225</v>
      </c>
      <c r="J24" s="17"/>
      <c r="K24" s="17"/>
      <c r="L24" s="17"/>
      <c r="M24" s="17"/>
      <c r="N24" s="17"/>
      <c r="O24" s="17"/>
      <c r="P24" s="17"/>
      <c r="Q24" s="17"/>
      <c r="R24" s="17"/>
      <c r="S24" s="122"/>
      <c r="T24" s="632"/>
      <c r="U24" s="44"/>
      <c r="V24" s="43"/>
      <c r="W24" s="353"/>
      <c r="X24" s="43"/>
      <c r="Y24" s="43"/>
      <c r="Z24" s="43"/>
      <c r="AA24" s="53" t="s">
        <v>214</v>
      </c>
      <c r="AB24" s="43"/>
      <c r="AC24" s="43"/>
      <c r="AD24" s="53" t="s">
        <v>214</v>
      </c>
      <c r="AE24" s="43"/>
      <c r="AF24" s="43"/>
      <c r="AG24" s="43"/>
      <c r="AH24" s="43"/>
      <c r="AI24" s="43"/>
      <c r="AJ24" s="122"/>
      <c r="AK24" s="123"/>
    </row>
    <row r="25" spans="1:37" ht="15.75" x14ac:dyDescent="0.25">
      <c r="A25" s="17"/>
      <c r="B25" s="17"/>
      <c r="C25" s="17"/>
      <c r="D25" s="17"/>
      <c r="E25" s="17"/>
      <c r="F25" s="122"/>
      <c r="G25" s="632"/>
      <c r="H25" s="44"/>
      <c r="I25" s="640" t="s">
        <v>69</v>
      </c>
      <c r="J25" s="17"/>
      <c r="K25" s="17"/>
      <c r="L25" s="17"/>
      <c r="M25" s="17"/>
      <c r="N25" s="17"/>
      <c r="O25" s="17"/>
      <c r="P25" s="17"/>
      <c r="Q25" s="17"/>
      <c r="R25" s="17"/>
      <c r="S25" s="122"/>
      <c r="T25" s="632"/>
      <c r="U25" s="44"/>
      <c r="V25" s="202"/>
      <c r="W25" s="202"/>
      <c r="X25" s="43"/>
      <c r="Y25" s="81" t="s">
        <v>202</v>
      </c>
      <c r="Z25" s="82" t="s">
        <v>203</v>
      </c>
      <c r="AA25" s="53" t="s">
        <v>214</v>
      </c>
      <c r="AB25" s="81" t="s">
        <v>183</v>
      </c>
      <c r="AC25" s="82" t="s">
        <v>184</v>
      </c>
      <c r="AD25" s="53" t="s">
        <v>214</v>
      </c>
      <c r="AE25" s="81" t="s">
        <v>213</v>
      </c>
      <c r="AF25" s="82" t="s">
        <v>182</v>
      </c>
      <c r="AG25" s="43"/>
      <c r="AH25" s="43"/>
      <c r="AI25" s="203"/>
      <c r="AJ25" s="122"/>
      <c r="AK25" s="123"/>
    </row>
    <row r="26" spans="1:37" ht="16.5" thickBot="1" x14ac:dyDescent="0.3">
      <c r="A26" s="17"/>
      <c r="B26" s="46">
        <v>7</v>
      </c>
      <c r="C26" s="47" t="s">
        <v>91</v>
      </c>
      <c r="D26" s="47" t="s">
        <v>94</v>
      </c>
      <c r="E26" s="1">
        <v>1.2</v>
      </c>
      <c r="F26" s="151" t="str">
        <f>IF(ISNUMBER(E26),"","Err")</f>
        <v/>
      </c>
      <c r="G26" s="644"/>
      <c r="H26" s="44"/>
      <c r="I26" s="44" t="s">
        <v>167</v>
      </c>
      <c r="J26" s="17"/>
      <c r="K26" s="17"/>
      <c r="L26" s="17"/>
      <c r="M26" s="17"/>
      <c r="N26" s="17"/>
      <c r="O26" s="17"/>
      <c r="P26" s="17"/>
      <c r="Q26" s="17"/>
      <c r="R26" s="17"/>
      <c r="S26" s="122"/>
      <c r="T26" s="632"/>
      <c r="U26" s="44"/>
      <c r="V26" s="202"/>
      <c r="W26" s="202"/>
      <c r="X26" s="43"/>
      <c r="Y26" s="84">
        <f>(W22*IF(E53=1,E49,1)*IF(OR(AND(W23&gt;90,W23&lt;270),AND(W23&gt;-270,W23&lt;-90)),-1,1)/SQRT(1+POWER(TAN(RADIANS(W23)),2))/(E49+E49*E60))</f>
        <v>3.2049850373540645</v>
      </c>
      <c r="Z26" s="86">
        <f>ABS((W22*IF(E53=1,E49,1)/SQRT(1+POWER(TAN(RADIANS(W23)),2))/(E49+E49*E61))*TAN(RADIANS(W23)))*IF(OR(AND(W23&gt;180,W23&lt;360),AND(W23&gt;-180,W23&lt;0)),-1,1)</f>
        <v>1.6357606317906781</v>
      </c>
      <c r="AA26" s="53" t="s">
        <v>214</v>
      </c>
      <c r="AB26" s="84">
        <f>(W22*IF(E53=1,E49,1)/E49)*COS(RADIANS(W23))</f>
        <v>3.6861841993004631</v>
      </c>
      <c r="AC26" s="86">
        <f>ABS((W22*IF(E53=1,E49,1)*IF(AND(W23&gt;=-90,W23&lt;=90),1,-1)/E49)*SIN(RADIANS(W23)))*IF(OR(AND(W23&gt;180,W23&lt;360),AND(W23&gt;-180,W23&lt;0)),-1,1)</f>
        <v>2.5810939635797072</v>
      </c>
      <c r="AD26" s="53" t="s">
        <v>214</v>
      </c>
      <c r="AE26" s="84">
        <f>E49</f>
        <v>1</v>
      </c>
      <c r="AF26" s="86">
        <v>0</v>
      </c>
      <c r="AG26" s="43"/>
      <c r="AH26" s="43"/>
      <c r="AI26" s="43"/>
      <c r="AJ26" s="122"/>
      <c r="AK26" s="123"/>
    </row>
    <row r="27" spans="1:37" ht="16.5" thickBot="1" x14ac:dyDescent="0.3">
      <c r="A27" s="17"/>
      <c r="B27" s="46">
        <v>8</v>
      </c>
      <c r="C27" s="47" t="s">
        <v>92</v>
      </c>
      <c r="D27" s="43" t="s">
        <v>93</v>
      </c>
      <c r="E27" s="3">
        <v>10</v>
      </c>
      <c r="F27" s="151" t="str">
        <f>IF(ISNUMBER(E27),"","Err")</f>
        <v/>
      </c>
      <c r="G27" s="644"/>
      <c r="H27" s="44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22"/>
      <c r="T27" s="632"/>
      <c r="U27" s="44"/>
      <c r="V27" s="202"/>
      <c r="W27" s="202"/>
      <c r="X27" s="44"/>
      <c r="Y27" s="357"/>
      <c r="Z27" s="357"/>
      <c r="AA27" s="358"/>
      <c r="AB27" s="357"/>
      <c r="AC27" s="357"/>
      <c r="AD27" s="358"/>
      <c r="AE27" s="357"/>
      <c r="AF27" s="357"/>
      <c r="AG27" s="44"/>
      <c r="AH27" s="44"/>
      <c r="AI27" s="44"/>
      <c r="AJ27" s="122"/>
      <c r="AK27" s="123"/>
    </row>
    <row r="28" spans="1:37" ht="15.75" x14ac:dyDescent="0.25">
      <c r="A28" s="17"/>
      <c r="B28" s="17"/>
      <c r="C28" s="17"/>
      <c r="D28" s="17"/>
      <c r="E28" s="10" t="s">
        <v>589</v>
      </c>
      <c r="F28" s="122"/>
      <c r="G28" s="632"/>
      <c r="H28" s="641" t="s">
        <v>320</v>
      </c>
      <c r="I28" s="642" t="s">
        <v>445</v>
      </c>
      <c r="J28" s="17"/>
      <c r="K28" s="17"/>
      <c r="L28" s="17"/>
      <c r="M28" s="17"/>
      <c r="N28" s="17"/>
      <c r="O28" s="17"/>
      <c r="P28" s="17"/>
      <c r="Q28" s="17"/>
      <c r="R28" s="17"/>
      <c r="S28" s="122"/>
      <c r="T28" s="632"/>
      <c r="U28" s="44"/>
      <c r="V28" s="742" t="s">
        <v>493</v>
      </c>
      <c r="W28" s="742"/>
      <c r="X28" s="638" t="str">
        <f>IF(AH37,"область срабатывания","")</f>
        <v/>
      </c>
      <c r="Y28" s="357"/>
      <c r="Z28" s="357"/>
      <c r="AA28" s="358"/>
      <c r="AB28" s="357"/>
      <c r="AC28" s="357"/>
      <c r="AD28" s="358"/>
      <c r="AE28" s="357"/>
      <c r="AF28" s="357"/>
      <c r="AG28" s="44"/>
      <c r="AH28" s="44"/>
      <c r="AI28" s="336"/>
      <c r="AJ28" s="122"/>
      <c r="AK28" s="123"/>
    </row>
    <row r="29" spans="1:37" ht="16.5" thickBot="1" x14ac:dyDescent="0.3">
      <c r="A29" s="17"/>
      <c r="B29" s="46">
        <v>9</v>
      </c>
      <c r="C29" s="47" t="s">
        <v>96</v>
      </c>
      <c r="D29" s="47" t="s">
        <v>56</v>
      </c>
      <c r="E29" s="9">
        <v>1</v>
      </c>
      <c r="F29" s="122" t="str">
        <f>IF(OR(E29=1,E29=2),"","Err")</f>
        <v/>
      </c>
      <c r="G29" s="632"/>
      <c r="H29" s="44"/>
      <c r="I29" s="642" t="s">
        <v>444</v>
      </c>
      <c r="J29" s="17"/>
      <c r="K29" s="17"/>
      <c r="L29" s="17"/>
      <c r="M29" s="17"/>
      <c r="N29" s="17"/>
      <c r="O29" s="17"/>
      <c r="P29" s="17"/>
      <c r="Q29" s="17"/>
      <c r="R29" s="17"/>
      <c r="S29" s="122"/>
      <c r="T29" s="632"/>
      <c r="U29" s="44"/>
      <c r="V29" s="742"/>
      <c r="W29" s="742"/>
      <c r="X29" s="639" t="str">
        <f>IF(AH37,"","область не срабатывания")</f>
        <v>область не срабатывания</v>
      </c>
      <c r="Y29" s="357"/>
      <c r="Z29" s="357"/>
      <c r="AA29" s="358"/>
      <c r="AB29" s="357"/>
      <c r="AC29" s="357"/>
      <c r="AD29" s="358"/>
      <c r="AE29" s="357"/>
      <c r="AF29" s="357"/>
      <c r="AG29" s="44"/>
      <c r="AH29" s="44"/>
      <c r="AI29" s="44"/>
      <c r="AJ29" s="122"/>
      <c r="AK29" s="123"/>
    </row>
    <row r="30" spans="1:37" ht="15.75" x14ac:dyDescent="0.25">
      <c r="A30" s="17"/>
      <c r="B30" s="17"/>
      <c r="C30" s="17"/>
      <c r="D30" s="17"/>
      <c r="E30" s="17"/>
      <c r="F30" s="122"/>
      <c r="G30" s="632"/>
      <c r="H30" s="641" t="s">
        <v>320</v>
      </c>
      <c r="I30" s="642" t="s">
        <v>413</v>
      </c>
      <c r="J30" s="325"/>
      <c r="K30" s="325"/>
      <c r="L30" s="325"/>
      <c r="M30" s="325"/>
      <c r="N30" s="325"/>
      <c r="O30" s="325"/>
      <c r="P30" s="325"/>
      <c r="Q30" s="325"/>
      <c r="R30" s="325"/>
      <c r="S30" s="122"/>
      <c r="T30" s="632"/>
      <c r="U30" s="44"/>
      <c r="V30" s="202"/>
      <c r="W30" s="202"/>
      <c r="X30" s="44"/>
      <c r="Y30" s="357"/>
      <c r="Z30" s="357"/>
      <c r="AA30" s="358"/>
      <c r="AB30" s="357"/>
      <c r="AC30" s="357"/>
      <c r="AD30" s="358"/>
      <c r="AE30" s="357"/>
      <c r="AF30" s="357"/>
      <c r="AG30" s="44"/>
      <c r="AH30" s="44"/>
      <c r="AI30" s="44"/>
      <c r="AJ30" s="122"/>
      <c r="AK30" s="123"/>
    </row>
    <row r="31" spans="1:37" x14ac:dyDescent="0.25">
      <c r="A31" s="17"/>
      <c r="B31" s="17"/>
      <c r="C31" s="105" t="s">
        <v>425</v>
      </c>
      <c r="D31" s="17"/>
      <c r="E31" s="17"/>
      <c r="F31" s="122"/>
      <c r="G31" s="632"/>
      <c r="H31" s="326"/>
      <c r="I31" s="642" t="s">
        <v>502</v>
      </c>
      <c r="J31" s="325"/>
      <c r="K31" s="325"/>
      <c r="L31" s="325"/>
      <c r="M31" s="325"/>
      <c r="N31" s="325"/>
      <c r="O31" s="325"/>
      <c r="P31" s="325"/>
      <c r="Q31" s="325"/>
      <c r="R31" s="325"/>
      <c r="S31" s="122"/>
      <c r="T31" s="632"/>
      <c r="U31" s="44"/>
      <c r="V31" s="166"/>
      <c r="W31" s="166"/>
      <c r="X31" s="166"/>
      <c r="Y31" s="166"/>
      <c r="Z31" s="166"/>
      <c r="AA31" s="166"/>
      <c r="AB31" s="166"/>
      <c r="AC31" s="166"/>
      <c r="AD31" s="166"/>
      <c r="AE31" s="166"/>
      <c r="AF31" s="166"/>
      <c r="AG31" s="166"/>
      <c r="AH31" s="166"/>
      <c r="AI31" s="166"/>
      <c r="AJ31" s="122"/>
      <c r="AK31" s="123"/>
    </row>
    <row r="32" spans="1:37" ht="15.75" thickBot="1" x14ac:dyDescent="0.3">
      <c r="A32" s="17"/>
      <c r="B32" s="46">
        <v>10</v>
      </c>
      <c r="C32" s="47" t="s">
        <v>77</v>
      </c>
      <c r="D32" s="47" t="s">
        <v>15</v>
      </c>
      <c r="E32" s="2">
        <v>2.24E-2</v>
      </c>
      <c r="F32" s="151" t="str">
        <f t="shared" ref="F32:F37" si="0">IF(ISNUMBER(E32),"","Err")</f>
        <v/>
      </c>
      <c r="G32" s="644"/>
      <c r="H32" s="326"/>
      <c r="I32" s="642" t="s">
        <v>503</v>
      </c>
      <c r="J32" s="325"/>
      <c r="K32" s="325"/>
      <c r="L32" s="325"/>
      <c r="M32" s="325"/>
      <c r="N32" s="325"/>
      <c r="O32" s="325"/>
      <c r="P32" s="325"/>
      <c r="Q32" s="325"/>
      <c r="R32" s="325"/>
      <c r="S32" s="122"/>
      <c r="T32" s="632"/>
      <c r="U32" s="44"/>
      <c r="V32" s="359" t="s">
        <v>122</v>
      </c>
      <c r="W32" s="360" t="s">
        <v>219</v>
      </c>
      <c r="X32" s="361" t="s">
        <v>216</v>
      </c>
      <c r="Y32" s="174"/>
      <c r="Z32" s="359" t="s">
        <v>220</v>
      </c>
      <c r="AA32" s="360" t="s">
        <v>219</v>
      </c>
      <c r="AB32" s="361" t="s">
        <v>216</v>
      </c>
      <c r="AC32" s="166"/>
      <c r="AD32" s="359" t="s">
        <v>116</v>
      </c>
      <c r="AE32" s="362"/>
      <c r="AF32" s="166"/>
      <c r="AG32" s="361" t="s">
        <v>290</v>
      </c>
      <c r="AH32" s="363" t="s">
        <v>100</v>
      </c>
      <c r="AI32" s="361" t="s">
        <v>101</v>
      </c>
      <c r="AJ32" s="122"/>
      <c r="AK32" s="123"/>
    </row>
    <row r="33" spans="1:37" ht="15.75" thickBot="1" x14ac:dyDescent="0.3">
      <c r="A33" s="17"/>
      <c r="B33" s="46">
        <v>11</v>
      </c>
      <c r="C33" s="47" t="s">
        <v>78</v>
      </c>
      <c r="D33" s="47" t="s">
        <v>16</v>
      </c>
      <c r="E33" s="2">
        <v>7.1000000000000004E-3</v>
      </c>
      <c r="F33" s="151" t="str">
        <f t="shared" si="0"/>
        <v/>
      </c>
      <c r="G33" s="644"/>
      <c r="H33" s="326"/>
      <c r="I33" s="643" t="s">
        <v>504</v>
      </c>
      <c r="J33" s="325"/>
      <c r="K33" s="325"/>
      <c r="L33" s="325"/>
      <c r="M33" s="325"/>
      <c r="N33" s="325"/>
      <c r="O33" s="325"/>
      <c r="P33" s="325"/>
      <c r="Q33" s="325"/>
      <c r="R33" s="325"/>
      <c r="S33" s="122"/>
      <c r="T33" s="632"/>
      <c r="U33" s="44"/>
      <c r="V33" s="364" t="s">
        <v>86</v>
      </c>
      <c r="W33" s="365">
        <f>E18*(IF(E29=1,1,-1))</f>
        <v>4</v>
      </c>
      <c r="X33" s="366">
        <f>W33*(1+E61)</f>
        <v>6.3116666666666665</v>
      </c>
      <c r="Y33" s="166"/>
      <c r="Z33" s="367" t="s">
        <v>259</v>
      </c>
      <c r="AA33" s="368">
        <f>IF(E55="есть",1,0)</f>
        <v>1</v>
      </c>
      <c r="AB33" s="366"/>
      <c r="AC33" s="166"/>
      <c r="AD33" s="367" t="s">
        <v>139</v>
      </c>
      <c r="AE33" s="369">
        <f>IF(E29=1,0,1)</f>
        <v>0</v>
      </c>
      <c r="AF33" s="166"/>
      <c r="AG33" s="370" t="s">
        <v>289</v>
      </c>
      <c r="AH33" s="371">
        <f>Y26</f>
        <v>3.2049850373540645</v>
      </c>
      <c r="AI33" s="372">
        <f>Z26</f>
        <v>1.6357606317906781</v>
      </c>
      <c r="AJ33" s="122"/>
      <c r="AK33" s="123"/>
    </row>
    <row r="34" spans="1:37" ht="15.75" thickBot="1" x14ac:dyDescent="0.3">
      <c r="A34" s="17"/>
      <c r="B34" s="46">
        <v>12</v>
      </c>
      <c r="C34" s="47" t="s">
        <v>79</v>
      </c>
      <c r="D34" s="47" t="s">
        <v>17</v>
      </c>
      <c r="E34" s="2">
        <v>7.3499999999999996E-2</v>
      </c>
      <c r="F34" s="151" t="str">
        <f t="shared" si="0"/>
        <v/>
      </c>
      <c r="G34" s="644"/>
      <c r="H34" s="326"/>
      <c r="I34" s="642" t="s">
        <v>505</v>
      </c>
      <c r="J34" s="325"/>
      <c r="K34" s="325"/>
      <c r="L34" s="325"/>
      <c r="M34" s="325"/>
      <c r="N34" s="325"/>
      <c r="O34" s="325"/>
      <c r="P34" s="325"/>
      <c r="Q34" s="325"/>
      <c r="R34" s="325"/>
      <c r="S34" s="122"/>
      <c r="T34" s="632"/>
      <c r="U34" s="44"/>
      <c r="V34" s="367" t="s">
        <v>87</v>
      </c>
      <c r="W34" s="373">
        <f>E19*(IF(E29=1,1,-1))</f>
        <v>2</v>
      </c>
      <c r="X34" s="366">
        <f>W34*(1+E60)</f>
        <v>2.3002816901408449</v>
      </c>
      <c r="Y34" s="166"/>
      <c r="Z34" s="367" t="s">
        <v>260</v>
      </c>
      <c r="AA34" s="374">
        <f>IF(E56="есть",1,0)</f>
        <v>1</v>
      </c>
      <c r="AB34" s="366"/>
      <c r="AC34" s="166"/>
      <c r="AD34" s="95" t="s">
        <v>564</v>
      </c>
      <c r="AE34" s="96">
        <f>IF(E29=1,E42,E42+180)</f>
        <v>72.413244358301839</v>
      </c>
      <c r="AF34" s="166"/>
      <c r="AG34" s="367" t="s">
        <v>286</v>
      </c>
      <c r="AH34" s="376">
        <f>IF(OR(AND(AE33=0,AH33&gt;=(AI33/TAN(RADIANS(W35))),AH33&lt;=(W34+AI33/TAN(RADIANS(W35)))),AND(AE33=1,AH33&lt;=(AI33/TAN(RADIANS(W35))),AH33&gt;=(W34+AI33/TAN(RADIANS(W35))))),1,0)</f>
        <v>0</v>
      </c>
      <c r="AI34" s="369">
        <f>IF(OR(AND(AE33=0,ABS(AI33)&lt;=ABS(W33),AI33&gt;=(AH33*TAN(RADIANS(W36))),AI33&lt;=(W33+TAN(RADIANS(W38))*(AH33-W33/TAN(RADIANS(AE34))))),AND(AE33=1,ABS(AI33)&lt;=ABS(W33),AI33&lt;=(AH33*TAN(RADIANS(W36))),AI33&gt;=(W33+TAN(RADIANS(W38))*(AH33-W33/TAN(RADIANS(AE34)))))),1,0)</f>
        <v>1</v>
      </c>
      <c r="AJ34" s="122"/>
      <c r="AK34" s="123"/>
    </row>
    <row r="35" spans="1:37" ht="15.75" thickBot="1" x14ac:dyDescent="0.3">
      <c r="A35" s="17"/>
      <c r="B35" s="46">
        <v>13</v>
      </c>
      <c r="C35" s="47" t="s">
        <v>80</v>
      </c>
      <c r="D35" s="47" t="s">
        <v>18</v>
      </c>
      <c r="E35" s="2">
        <v>1.5299999999999999E-2</v>
      </c>
      <c r="F35" s="151" t="str">
        <f t="shared" si="0"/>
        <v/>
      </c>
      <c r="G35" s="644"/>
      <c r="H35" s="687" t="s">
        <v>320</v>
      </c>
      <c r="I35" s="642" t="s">
        <v>583</v>
      </c>
      <c r="J35" s="325"/>
      <c r="K35" s="325"/>
      <c r="L35" s="325"/>
      <c r="M35" s="325"/>
      <c r="N35" s="325"/>
      <c r="O35" s="325"/>
      <c r="P35" s="325"/>
      <c r="Q35" s="325"/>
      <c r="R35" s="325"/>
      <c r="S35" s="122"/>
      <c r="T35" s="632"/>
      <c r="U35" s="44"/>
      <c r="V35" s="377" t="s">
        <v>59</v>
      </c>
      <c r="W35" s="378">
        <f>E21+IF(E29=1,0,180)</f>
        <v>70</v>
      </c>
      <c r="X35" s="379">
        <f>DEGREES(ATAN((AC51-AB51)/(AC50-AB50)))+IF(E29=1,0,180)</f>
        <v>75.141857750040003</v>
      </c>
      <c r="Y35" s="166"/>
      <c r="Z35" s="367" t="s">
        <v>94</v>
      </c>
      <c r="AA35" s="373">
        <f>E26*(IF(E29=1,1,-1))</f>
        <v>1.2</v>
      </c>
      <c r="AB35" s="366">
        <f>AA35*(1+E60)</f>
        <v>1.3801690140845069</v>
      </c>
      <c r="AC35" s="166"/>
      <c r="AD35" s="95" t="s">
        <v>565</v>
      </c>
      <c r="AE35" s="96">
        <f>DEGREES(ATAN(AE45/AE44))+IF(E29=1,0,180)</f>
        <v>76.990940505824312</v>
      </c>
      <c r="AF35" s="166"/>
      <c r="AG35" s="377" t="s">
        <v>287</v>
      </c>
      <c r="AH35" s="376">
        <f>IF(OR(AND(AE33=0,AH33&gt;=(AI33/TAN(RADIANS(W35))-W34),AH33&lt;=(AI33/TAN(RADIANS(W35)))),AND(AE33=1,AH33&lt;=(AI33/TAN(RADIANS(W35))-W34),AH33&gt;=(AI33/TAN(RADIANS(W35))))),1,0)</f>
        <v>0</v>
      </c>
      <c r="AI35" s="369">
        <f>IF(OR(AND(AE33=0,AI33&gt;=(AH33*TAN(RADIANS(W37))),AI33&lt;=W33),AND(AE33=1,AI33&lt;=(AH33*TAN(RADIANS(W37))),AI33&gt;=W33)),1,0)</f>
        <v>1</v>
      </c>
      <c r="AJ35" s="122"/>
      <c r="AK35" s="123"/>
    </row>
    <row r="36" spans="1:37" ht="15.75" thickBot="1" x14ac:dyDescent="0.3">
      <c r="A36" s="17"/>
      <c r="B36" s="46">
        <v>14</v>
      </c>
      <c r="C36" s="47" t="s">
        <v>442</v>
      </c>
      <c r="D36" s="47" t="s">
        <v>440</v>
      </c>
      <c r="E36" s="2">
        <v>8.9899999999999994E-2</v>
      </c>
      <c r="F36" s="151" t="str">
        <f t="shared" si="0"/>
        <v/>
      </c>
      <c r="G36" s="644"/>
      <c r="H36" s="326"/>
      <c r="I36" s="642" t="s">
        <v>581</v>
      </c>
      <c r="J36" s="325"/>
      <c r="K36" s="325"/>
      <c r="L36" s="325"/>
      <c r="M36" s="325"/>
      <c r="N36" s="325"/>
      <c r="O36" s="325"/>
      <c r="P36" s="325"/>
      <c r="Q36" s="325"/>
      <c r="R36" s="325"/>
      <c r="S36" s="122"/>
      <c r="T36" s="632"/>
      <c r="U36" s="44"/>
      <c r="V36" s="377" t="s">
        <v>60</v>
      </c>
      <c r="W36" s="378">
        <f>E22+IF(E29=1,0,180)</f>
        <v>-20</v>
      </c>
      <c r="X36" s="379">
        <f>DEGREES(ATAN((X51-W51)/(X50-W50)))+IF(E29=1,0,180)</f>
        <v>-26.534925364925172</v>
      </c>
      <c r="Y36" s="166"/>
      <c r="Z36" s="377" t="s">
        <v>93</v>
      </c>
      <c r="AA36" s="378">
        <f>E27</f>
        <v>10</v>
      </c>
      <c r="AB36" s="379">
        <f>DEGREES(ATAN((AC45-AB45)/(AC44-AB44)))</f>
        <v>13.59910241015486</v>
      </c>
      <c r="AC36" s="166"/>
      <c r="AD36" s="95" t="s">
        <v>555</v>
      </c>
      <c r="AE36" s="169">
        <f>IF(E63="есть",1,0)</f>
        <v>1</v>
      </c>
      <c r="AF36" s="166"/>
      <c r="AG36" s="377" t="s">
        <v>288</v>
      </c>
      <c r="AH36" s="376">
        <f>IF(ABS(AH33)&gt;ABS(H32),1,0)</f>
        <v>1</v>
      </c>
      <c r="AI36" s="369">
        <f>IF(OR(AND(AI33&gt;(AH33*TAN(RADIANS(AA37))),AI33&lt;(AH33*TAN(RADIANS(AA38)))),AND(AI33&lt;(AH33*TAN(RADIANS(AA37))),AI33&gt;(AH33*TAN(RADIANS(AA38))))),1,0)</f>
        <v>0</v>
      </c>
      <c r="AJ36" s="122"/>
      <c r="AK36" s="123"/>
    </row>
    <row r="37" spans="1:37" ht="15.75" thickBot="1" x14ac:dyDescent="0.3">
      <c r="A37" s="17"/>
      <c r="B37" s="46">
        <v>15</v>
      </c>
      <c r="C37" s="47" t="s">
        <v>443</v>
      </c>
      <c r="D37" s="47" t="s">
        <v>441</v>
      </c>
      <c r="E37" s="2">
        <v>0.24</v>
      </c>
      <c r="F37" s="151" t="str">
        <f t="shared" si="0"/>
        <v/>
      </c>
      <c r="G37" s="644"/>
      <c r="H37" s="44"/>
      <c r="I37" s="135"/>
      <c r="J37" s="17"/>
      <c r="K37" s="17"/>
      <c r="L37" s="17"/>
      <c r="M37" s="17"/>
      <c r="N37" s="17"/>
      <c r="O37" s="17"/>
      <c r="P37" s="17"/>
      <c r="Q37" s="17"/>
      <c r="R37" s="17"/>
      <c r="S37" s="122"/>
      <c r="T37" s="632"/>
      <c r="U37" s="44"/>
      <c r="V37" s="377" t="s">
        <v>61</v>
      </c>
      <c r="W37" s="378">
        <f>E23+IF(E29=1,0,180)</f>
        <v>115</v>
      </c>
      <c r="X37" s="379">
        <f>180+DEGREES(ATAN((AG51-AF51)/(AG50-AF50)))+IF(E29=1,0,180)</f>
        <v>108.77242876079609</v>
      </c>
      <c r="Y37" s="166"/>
      <c r="Z37" s="377" t="s">
        <v>117</v>
      </c>
      <c r="AA37" s="378">
        <f>IF(E29=1,(-1)*E27,(-1)*E27+180)</f>
        <v>-10</v>
      </c>
      <c r="AB37" s="379">
        <f>DEGREES(ATAN((Z45-Y45)/(Z44-Y44)))+IF(E29=1,0,180)</f>
        <v>-13.59910241015486</v>
      </c>
      <c r="AC37" s="166"/>
      <c r="AD37" s="95" t="s">
        <v>556</v>
      </c>
      <c r="AE37" s="169">
        <f>IF(E64="есть",1,0)</f>
        <v>1</v>
      </c>
      <c r="AF37" s="166"/>
      <c r="AG37" s="377" t="s">
        <v>291</v>
      </c>
      <c r="AH37" s="376">
        <f>IF(AND(OR(AND(AH34,AI34),AND(AH35,AI35)),NOT(AND(AH36,AI36))),1,0)</f>
        <v>0</v>
      </c>
      <c r="AI37" s="369"/>
      <c r="AJ37" s="122"/>
      <c r="AK37" s="123"/>
    </row>
    <row r="38" spans="1:37" ht="15.75" thickBot="1" x14ac:dyDescent="0.3">
      <c r="A38" s="17"/>
      <c r="B38" s="46"/>
      <c r="C38" s="43"/>
      <c r="D38" s="43"/>
      <c r="E38" s="484" t="str">
        <f>IF(OR(E37&gt;0.5,E37&gt;0.5),"Задать MR0 и MX0 минимальное значение.","")</f>
        <v/>
      </c>
      <c r="F38" s="122"/>
      <c r="G38" s="644"/>
      <c r="H38" s="44"/>
      <c r="I38" s="55" t="s">
        <v>30</v>
      </c>
      <c r="J38" s="55"/>
      <c r="K38" s="56" t="s">
        <v>73</v>
      </c>
      <c r="L38" s="57"/>
      <c r="M38" s="55" t="s">
        <v>31</v>
      </c>
      <c r="N38" s="58" t="s">
        <v>32</v>
      </c>
      <c r="O38" s="58"/>
      <c r="P38" s="56"/>
      <c r="Q38" s="59" t="s">
        <v>43</v>
      </c>
      <c r="R38" s="57"/>
      <c r="S38" s="122"/>
      <c r="T38" s="632"/>
      <c r="U38" s="44"/>
      <c r="V38" s="377" t="s">
        <v>107</v>
      </c>
      <c r="W38" s="378">
        <f>E24+IF(E29=1,0,180)</f>
        <v>-12</v>
      </c>
      <c r="X38" s="379">
        <f>IF(AC51=AD51,0,DEGREES(ATAN((AD51-AC51)/(AD50-AC50))))+IF(E29=1,0,180)</f>
        <v>-16.257394693049939</v>
      </c>
      <c r="Y38" s="166"/>
      <c r="Z38" s="377" t="s">
        <v>118</v>
      </c>
      <c r="AA38" s="378">
        <f>IF(E29=1,E27,E27+180)</f>
        <v>10</v>
      </c>
      <c r="AB38" s="379">
        <f>AB36+IF(E29=1,0,180)</f>
        <v>13.59910241015486</v>
      </c>
      <c r="AC38" s="166"/>
      <c r="AD38" s="377"/>
      <c r="AE38" s="380"/>
      <c r="AF38" s="166"/>
      <c r="AG38" s="377"/>
      <c r="AH38" s="381"/>
      <c r="AI38" s="382"/>
      <c r="AJ38" s="122"/>
      <c r="AK38" s="123"/>
    </row>
    <row r="39" spans="1:37" ht="15.75" thickBot="1" x14ac:dyDescent="0.3">
      <c r="A39" s="17"/>
      <c r="B39" s="46">
        <v>16</v>
      </c>
      <c r="C39" s="106" t="s">
        <v>50</v>
      </c>
      <c r="D39" s="107" t="s">
        <v>2</v>
      </c>
      <c r="E39" s="3">
        <v>0.39</v>
      </c>
      <c r="F39" s="151" t="str">
        <f>IF(ISNUMBER(E39),"","Err")</f>
        <v/>
      </c>
      <c r="G39" s="644"/>
      <c r="H39" s="44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122"/>
      <c r="T39" s="632"/>
      <c r="U39" s="44"/>
      <c r="V39" s="166"/>
      <c r="W39" s="166"/>
      <c r="X39" s="166"/>
      <c r="Y39" s="166"/>
      <c r="Z39" s="166"/>
      <c r="AA39" s="166"/>
      <c r="AB39" s="166"/>
      <c r="AC39" s="166"/>
      <c r="AD39" s="166"/>
      <c r="AE39" s="166"/>
      <c r="AF39" s="166"/>
      <c r="AG39" s="166"/>
      <c r="AH39" s="166"/>
      <c r="AI39" s="166"/>
      <c r="AJ39" s="122"/>
      <c r="AK39" s="123"/>
    </row>
    <row r="40" spans="1:37" ht="15.75" thickBot="1" x14ac:dyDescent="0.3">
      <c r="A40" s="17"/>
      <c r="B40" s="46">
        <v>17</v>
      </c>
      <c r="C40" s="52" t="s">
        <v>51</v>
      </c>
      <c r="D40" s="107" t="s">
        <v>1</v>
      </c>
      <c r="E40" s="3">
        <v>0.76</v>
      </c>
      <c r="F40" s="151" t="str">
        <f>IF(ISNUMBER(E40),"","Err")</f>
        <v/>
      </c>
      <c r="G40" s="632"/>
      <c r="H40" s="44"/>
      <c r="I40" s="288" t="s">
        <v>113</v>
      </c>
      <c r="J40" s="17"/>
      <c r="K40" s="61" t="str">
        <f>IF(E53=1,"Zф, Ом","Uф, B")</f>
        <v>Uф, B</v>
      </c>
      <c r="L40" s="62" t="s">
        <v>129</v>
      </c>
      <c r="M40" s="17"/>
      <c r="N40" s="17"/>
      <c r="O40" s="17"/>
      <c r="P40" s="147" t="s">
        <v>228</v>
      </c>
      <c r="Q40" s="148" t="s">
        <v>229</v>
      </c>
      <c r="R40" s="149" t="s">
        <v>230</v>
      </c>
      <c r="S40" s="122"/>
      <c r="T40" s="632"/>
      <c r="U40" s="44"/>
      <c r="V40" s="44" t="s">
        <v>110</v>
      </c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122"/>
      <c r="AK40" s="123"/>
    </row>
    <row r="41" spans="1:37" ht="15.75" thickBot="1" x14ac:dyDescent="0.3">
      <c r="A41" s="17"/>
      <c r="B41" s="46"/>
      <c r="C41" s="52"/>
      <c r="D41" s="107"/>
      <c r="E41" s="107"/>
      <c r="F41" s="107"/>
      <c r="G41" s="644"/>
      <c r="H41" s="44"/>
      <c r="I41" s="63"/>
      <c r="J41" s="43"/>
      <c r="K41" s="64"/>
      <c r="L41" s="64"/>
      <c r="M41" s="43"/>
      <c r="N41" s="65"/>
      <c r="O41" s="65"/>
      <c r="P41" s="66"/>
      <c r="Q41" s="66"/>
      <c r="R41" s="66"/>
      <c r="S41" s="122"/>
      <c r="T41" s="632"/>
      <c r="U41" s="44"/>
      <c r="V41" s="166"/>
      <c r="W41" s="358" t="s">
        <v>37</v>
      </c>
      <c r="X41" s="358" t="s">
        <v>38</v>
      </c>
      <c r="Y41" s="358" t="s">
        <v>39</v>
      </c>
      <c r="Z41" s="358" t="s">
        <v>40</v>
      </c>
      <c r="AA41" s="358" t="s">
        <v>111</v>
      </c>
      <c r="AB41" s="358" t="s">
        <v>41</v>
      </c>
      <c r="AC41" s="358" t="s">
        <v>44</v>
      </c>
      <c r="AD41" s="358" t="s">
        <v>102</v>
      </c>
      <c r="AE41" s="358" t="s">
        <v>103</v>
      </c>
      <c r="AF41" s="358" t="s">
        <v>104</v>
      </c>
      <c r="AG41" s="358" t="s">
        <v>105</v>
      </c>
      <c r="AH41" s="358" t="s">
        <v>108</v>
      </c>
      <c r="AI41" s="358" t="s">
        <v>106</v>
      </c>
      <c r="AJ41" s="122"/>
      <c r="AK41" s="123"/>
    </row>
    <row r="42" spans="1:37" ht="15.75" thickBot="1" x14ac:dyDescent="0.3">
      <c r="A42" s="17"/>
      <c r="B42" s="46">
        <v>18</v>
      </c>
      <c r="C42" s="43" t="s">
        <v>551</v>
      </c>
      <c r="D42" s="686" t="s">
        <v>552</v>
      </c>
      <c r="E42" s="679">
        <f>DEGREES(ATAN(E32/E33))</f>
        <v>72.413244358301839</v>
      </c>
      <c r="F42" s="151" t="str">
        <f t="shared" ref="F42" si="1">IF(ISNUMBER(E42),"","Err")</f>
        <v/>
      </c>
      <c r="G42" s="644"/>
      <c r="H42" s="44"/>
      <c r="I42" s="617" t="s">
        <v>131</v>
      </c>
      <c r="J42" s="17"/>
      <c r="K42" s="153">
        <f>ROUNDUP(AD56*IF(E53=1,1,E49)*1.1,1)</f>
        <v>7</v>
      </c>
      <c r="L42" s="67">
        <f>AD57</f>
        <v>90</v>
      </c>
      <c r="M42" s="184" t="str">
        <f>IF(E53=1,"уменьш. Z до","уменьш. U до")</f>
        <v>уменьш. U до</v>
      </c>
      <c r="N42" s="75">
        <f>AD56*IF(E53=1,1,E49)</f>
        <v>6.3116666666666665</v>
      </c>
      <c r="O42" s="188" t="str">
        <f>IF(E53=1,"Z -&gt; ","U -&gt; ")</f>
        <v xml:space="preserve">U -&gt; </v>
      </c>
      <c r="P42" s="13">
        <v>0</v>
      </c>
      <c r="Q42" s="11">
        <v>0</v>
      </c>
      <c r="R42" s="14">
        <v>0</v>
      </c>
      <c r="S42" s="151" t="str">
        <f>IF(AND(ISNUMBER(P42),ISNUMBER(Q42),ISNUMBER(R42)),"","Err")</f>
        <v/>
      </c>
      <c r="T42" s="644"/>
      <c r="U42" s="44"/>
      <c r="V42" s="358" t="s">
        <v>221</v>
      </c>
      <c r="W42" s="386">
        <v>0</v>
      </c>
      <c r="X42" s="384">
        <f>W34*TAN(RADIANS(W35))/(TAN(RADIANS(W35))-TAN(RADIANS(W36)))</f>
        <v>1.7660444431189779</v>
      </c>
      <c r="Y42" s="384">
        <f>W34*TAN(RADIANS(W35))/(TAN(RADIANS(W35))-TAN(RADIANS(AA37)))</f>
        <v>1.8793852415718166</v>
      </c>
      <c r="Z42" s="384">
        <f>AA35</f>
        <v>1.2</v>
      </c>
      <c r="AA42" s="384">
        <f>AA35</f>
        <v>1.2</v>
      </c>
      <c r="AB42" s="384">
        <f>AA35</f>
        <v>1.2</v>
      </c>
      <c r="AC42" s="384">
        <f>W34*TAN(RADIANS(W35))/(TAN(RADIANS(W35))-TAN(RADIANS(AA38)))</f>
        <v>2.1371580426032577</v>
      </c>
      <c r="AD42" s="384">
        <f>(W33*(1-TAN(RADIANS(W38))/TAN(RADIANS(AE34)))+W34*TAN(RADIANS(W35)))/(TAN(RADIANS(W35))-TAN(RADIANS(W38)))</f>
        <v>3.2987615196815421</v>
      </c>
      <c r="AE42" s="384">
        <f>AE43/TAN(RADIANS(AE34))</f>
        <v>1.2678571428571432</v>
      </c>
      <c r="AF42" s="384">
        <f>(AF43/TAN(RADIANS(W35)))-W34</f>
        <v>-0.54411906293519019</v>
      </c>
      <c r="AG42" s="384">
        <f>TAN(RADIANS(W35))*W34/(TAN(RADIANS(W37))-TAN(RADIANS(W35)))</f>
        <v>-1.1232568334324384</v>
      </c>
      <c r="AH42" s="384">
        <f>W33/TAN(RADIANS(W37))</f>
        <v>-1.8652306326199937</v>
      </c>
      <c r="AI42" s="384">
        <v>0</v>
      </c>
      <c r="AJ42" s="122"/>
      <c r="AK42" s="123"/>
    </row>
    <row r="43" spans="1:37" ht="15.75" thickBot="1" x14ac:dyDescent="0.3">
      <c r="A43" s="166"/>
      <c r="B43" s="474"/>
      <c r="C43" s="474"/>
      <c r="D43" s="474"/>
      <c r="E43" s="475"/>
      <c r="F43" s="122"/>
      <c r="G43" s="632"/>
      <c r="H43" s="44"/>
      <c r="I43" s="618" t="s">
        <v>132</v>
      </c>
      <c r="J43" s="17"/>
      <c r="K43" s="154">
        <f>ROUNDUP(IF(E53=1,Z56,Z56*(E49))*1.1,1)</f>
        <v>2.9</v>
      </c>
      <c r="L43" s="68">
        <f>Z57</f>
        <v>17</v>
      </c>
      <c r="M43" s="185" t="str">
        <f>IF(E53=1,"уменьш. Z до","уменьш. U до")</f>
        <v>уменьш. U до</v>
      </c>
      <c r="N43" s="76">
        <f>IF(E53=1,Z56,Z56*E49)</f>
        <v>2.6177065334892808</v>
      </c>
      <c r="O43" s="188" t="str">
        <f>IF(E53=1,"Z -&gt; ","U -&gt; ")</f>
        <v xml:space="preserve">U -&gt; </v>
      </c>
      <c r="P43" s="13">
        <v>0</v>
      </c>
      <c r="Q43" s="11">
        <v>0</v>
      </c>
      <c r="R43" s="14">
        <v>0</v>
      </c>
      <c r="S43" s="151" t="str">
        <f>IF(AND(ISNUMBER(P43),ISNUMBER(Q43),ISNUMBER(R43)),"","Err")</f>
        <v/>
      </c>
      <c r="T43" s="644"/>
      <c r="U43" s="44"/>
      <c r="V43" s="358" t="s">
        <v>222</v>
      </c>
      <c r="W43" s="387">
        <v>0</v>
      </c>
      <c r="X43" s="385">
        <f>X42*TAN(RADIANS(W36))</f>
        <v>-0.64278760968653925</v>
      </c>
      <c r="Y43" s="385">
        <f>Y42*TAN(RADIANS(AA37))</f>
        <v>-0.33138632523440748</v>
      </c>
      <c r="Z43" s="385">
        <f>Z42*TAN(RADIANS(AA37))</f>
        <v>-0.21159237685015797</v>
      </c>
      <c r="AA43" s="385">
        <f>TAN(RADIANS(W35))*(AA42-W34)</f>
        <v>-2.1979819355636976</v>
      </c>
      <c r="AB43" s="385">
        <f>Z42*TAN(RADIANS(AA38))</f>
        <v>0.21159237685015797</v>
      </c>
      <c r="AC43" s="385">
        <f>AC42*TAN(RADIANS(AA38))</f>
        <v>0.37683862494904541</v>
      </c>
      <c r="AD43" s="385">
        <f>TAN(RADIANS(W35))*(AD42-W34)</f>
        <v>3.5683179485816061</v>
      </c>
      <c r="AE43" s="385">
        <f>W33</f>
        <v>4</v>
      </c>
      <c r="AF43" s="385">
        <f>W33</f>
        <v>4</v>
      </c>
      <c r="AG43" s="385">
        <f>AG42*TAN(RADIANS(W37))</f>
        <v>2.4088320528055176</v>
      </c>
      <c r="AH43" s="385">
        <f>AH42*TAN(RADIANS(W37))</f>
        <v>4</v>
      </c>
      <c r="AI43" s="385">
        <v>0</v>
      </c>
      <c r="AJ43" s="122"/>
      <c r="AK43" s="123"/>
    </row>
    <row r="44" spans="1:37" ht="15.75" thickBot="1" x14ac:dyDescent="0.3">
      <c r="A44" s="166"/>
      <c r="B44" s="476"/>
      <c r="C44" s="476"/>
      <c r="D44" s="476"/>
      <c r="E44" s="477"/>
      <c r="F44" s="122"/>
      <c r="G44" s="632"/>
      <c r="H44" s="44"/>
      <c r="I44" s="618" t="s">
        <v>133</v>
      </c>
      <c r="J44" s="17"/>
      <c r="K44" s="154">
        <f>IF(E53=1,AA56,AA56*(E49))</f>
        <v>6.0999999999999988</v>
      </c>
      <c r="L44" s="68">
        <f>ROUNDDOWN(AA57,0)-5</f>
        <v>48</v>
      </c>
      <c r="M44" s="185" t="s">
        <v>76</v>
      </c>
      <c r="N44" s="76">
        <f>AA57</f>
        <v>53.76586254679394</v>
      </c>
      <c r="O44" s="188" t="s">
        <v>292</v>
      </c>
      <c r="P44" s="13">
        <v>0</v>
      </c>
      <c r="Q44" s="11">
        <v>0</v>
      </c>
      <c r="R44" s="14">
        <v>0</v>
      </c>
      <c r="S44" s="151" t="str">
        <f>IF(AND(ISNUMBER(P44),ISNUMBER(Q44),ISNUMBER(R44)),"","Err")</f>
        <v/>
      </c>
      <c r="T44" s="644"/>
      <c r="U44" s="44"/>
      <c r="V44" s="44" t="s">
        <v>194</v>
      </c>
      <c r="W44" s="386">
        <v>0</v>
      </c>
      <c r="X44" s="384">
        <f>((SQRT(POWER(X42*(E49+E49*E60),2)+POWER(X43*(E49+E49*E61),2)))/E49)*COS(RADIANS(IF(E29=1,0,180)+IF(X42=0,90,DEGREES(ATAN((X43*(E49+E49*E61))/(X42*(E49+E49*E60)))))))</f>
        <v>2.0311998482407847</v>
      </c>
      <c r="Y44" s="384">
        <f>((SQRT(POWER(Y42*(E49+E49*E60),2)+POWER(Y43*(E49+E49*E61),2)))/E49)*COS(RADIANS(IF(E29=1,0,180)+IF(Y42=0,90,DEGREES(ATAN((Y43*(E49+E49*E61))/(Y42*(E49+E49*E60)))))))</f>
        <v>2.1615577299542892</v>
      </c>
      <c r="Z44" s="384">
        <f>((SQRT(POWER(Z42*(E49+E49*E60),2)+POWER(Z43*(E49+E49*E61),2)))/E49)*COS(RADIANS(IF(E29=1,0,180)+IF(Z42=0,90,DEGREES(ATAN((Z43*(E49+E49*E61))/(Z42*(E49+E49*E60)))))))</f>
        <v>1.3801690140845069</v>
      </c>
      <c r="AA44" s="384">
        <f>((SQRT(POWER(AA42*(E49+E49*E60),2)+POWER(AA43*(E49+E49*E61),2)))/E49)*COS(RADIANS(IF(E29=1,0,180)+IF(AA42=0,90,DEGREES(ATAN((AA43*(E49+E49*E61))/(AA42*(E49+E49*E60)))))))</f>
        <v>1.3801690140845069</v>
      </c>
      <c r="AB44" s="384">
        <f>((SQRT(POWER(AB42*(E49+E49*E60),2)+POWER(AB43*(E49+E49*E61),2)))/E49)*COS(RADIANS(IF(E29=1,0,180)+IF(AB42=0,90,DEGREES(ATAN((AB43*(E49+E49*E61))/(AB42*(E49+E49*E60)))))))</f>
        <v>1.3801690140845069</v>
      </c>
      <c r="AC44" s="384">
        <f>((SQRT(POWER(AC42*(E49+E49*E60),2)+POWER(AC43*(E49+E49*E61),2)))/E49)*COS(RADIANS(IF(E29=1,0,180)+IF(AC42=0,90,DEGREES(ATAN((AC43*(E49+E49*E61))/(AC42*(E49+E49*E60)))))))</f>
        <v>2.4580327571687608</v>
      </c>
      <c r="AD44" s="384">
        <f>((SQRT(POWER(AD42*(E49+E49*E60),2)+POWER(AD43*(E49+E49*E61),2)))/E49)*COS(RADIANS(IF(E29=1,0,180)+IF(AD42=0,90,DEGREES(ATAN((AD43*(E49+E49*E61))/(AD42*(E49+E49*E60)))))))</f>
        <v>3.79404036193232</v>
      </c>
      <c r="AE44" s="384">
        <f>((SQRT(POWER(AE42*(E49+E49*E60),2)+POWER(AE43*(E49+E49*E61),2)))/E49)*COS(RADIANS(IF(E29=1,0,180)+IF(AE42=0,90,DEGREES(ATAN((AE43*(E49+E49*E61))/(AE42*(E49+E49*E60)))))))</f>
        <v>1.4582142857142864</v>
      </c>
      <c r="AF44" s="384">
        <f>((SQRT(POWER(AF42*(E49+E49*E60),2)+POWER(AF43*(E49+E49*E61),2)))/E49)*COS(RADIANS(IF(E29=1,0,180)+IF(AF42=0,90,DEGREES(ATAN((AF43*(E49+E49*E61))/(AF42*(E49+E49*E60)))))))</f>
        <v>0.62581355886320633</v>
      </c>
      <c r="AG44" s="384">
        <f>((SQRT(POWER(AG42*(E49+E49*E60),2)+POWER(AG43*(E49+E49*E61),2)))/E49)*COS(RADIANS(IF(E29=1,0,180)+IF(AG42=0,90,DEGREES(ATAN((AG43*(E49+E49*E61))/(AG42*(E49+E49*E60)))))))</f>
        <v>1.2919035636351115</v>
      </c>
      <c r="AH44" s="384">
        <f>((SQRT(POWER(AH42*(E49+E49*E60),2)+POWER(AH43*(E49+E49*E61),2)))/E49)*COS(RADIANS(IF(E29=1,0,180)+IF(AH42=0,90,DEGREES(ATAN((AH43*(E49+E49*E61))/(AH42*(E49+E49*E60)))))))</f>
        <v>2.145277936052798</v>
      </c>
      <c r="AI44" s="384">
        <f>((SQRT(POWER(AI42*(E49+E49*E60),2)+POWER(AI43*(E49+E49*E61),2)))/E49)*COS(RADIANS(IF(E29=1,0,180)+IF(AI42=0,90,DEGREES(ATAN((AI43*(E49+E49*E61))/(AI42*(E49+E49*E60)))))))</f>
        <v>0</v>
      </c>
      <c r="AJ44" s="122"/>
      <c r="AK44" s="123"/>
    </row>
    <row r="45" spans="1:37" ht="16.5" thickBot="1" x14ac:dyDescent="0.3">
      <c r="A45" s="17"/>
      <c r="B45" s="8" t="s">
        <v>161</v>
      </c>
      <c r="C45" s="5"/>
      <c r="D45" s="5"/>
      <c r="E45" s="5"/>
      <c r="F45" s="122"/>
      <c r="G45" s="632"/>
      <c r="H45" s="44"/>
      <c r="I45" s="618" t="s">
        <v>134</v>
      </c>
      <c r="J45" s="17"/>
      <c r="K45" s="154">
        <f>IF(E53=1,W56,W56*(E49))</f>
        <v>2</v>
      </c>
      <c r="L45" s="68">
        <f>ROUNDDOWN(W57,0)-5</f>
        <v>328</v>
      </c>
      <c r="M45" s="185" t="s">
        <v>76</v>
      </c>
      <c r="N45" s="76">
        <f>W57</f>
        <v>333.46507463507481</v>
      </c>
      <c r="O45" s="188" t="s">
        <v>292</v>
      </c>
      <c r="P45" s="13">
        <v>0</v>
      </c>
      <c r="Q45" s="11">
        <v>0</v>
      </c>
      <c r="R45" s="14">
        <v>0</v>
      </c>
      <c r="S45" s="151" t="str">
        <f>IF(AND(ISNUMBER(P45),ISNUMBER(Q45),ISNUMBER(R45)),"","Err")</f>
        <v/>
      </c>
      <c r="T45" s="644"/>
      <c r="U45" s="44"/>
      <c r="V45" s="44" t="s">
        <v>195</v>
      </c>
      <c r="W45" s="387">
        <v>0</v>
      </c>
      <c r="X45" s="385">
        <f>((SQRT(POWER(X42*(E49+E49*E60),2)+POWER(X43*(E49+E49*E61),2)))/E49)*SIN(RADIANS(IF(E29=1,0,180)+IF(X42=0,90,DEGREES(ATAN((X43*(E49+E49*E61))/(X42*(E49+E49*E60)))))))</f>
        <v>-1.0142652824512184</v>
      </c>
      <c r="Y45" s="385">
        <f>((SQRT(POWER(Y42*(E49+E49*E60),2)+POWER(Y43*(E49+E49*E61),2)))/E49)*SIN(RADIANS(IF(E29=1,0,180)+IF(Y42=0,90,DEGREES(ATAN((Y43*(E49+E49*E61))/(Y42*(E49+E49*E60)))))))</f>
        <v>-0.52290000569279216</v>
      </c>
      <c r="Z45" s="385">
        <f>((SQRT(POWER(Z42*(E49+E49*E60),2)+POWER(Z43*(E49+E49*E61),2)))/E49)*SIN(RADIANS(IF(E29=1,0,180)+IF(Z42=0,90,DEGREES(ATAN((Z43*(E49+E49*E61))/(Z42*(E49+E49*E60)))))))</f>
        <v>-0.33387513797147844</v>
      </c>
      <c r="AA45" s="385">
        <f>((SQRT(POWER(AA42*(E49+E49*E60),2)+POWER(AA43*(E49+E49*E61),2)))/E49)*SIN(RADIANS(IF(E29=1,0,180)+IF(AA42=0,90,DEGREES(ATAN((AA43*(E49+E49*E61))/(AA42*(E49+E49*E60)))))))</f>
        <v>-3.468232329158218</v>
      </c>
      <c r="AB45" s="385">
        <f>((SQRT(POWER(AB42*(E49+E49*E60),2)+POWER(AB43*(E49+E49*E61),2)))/E49)*SIN(RADIANS(IF(E29=1,0,180)+IF(AB42=0,90,DEGREES(ATAN((AB43*(E49+E49*E61))/(AB42*(E49+E49*E60)))))))</f>
        <v>0.33387513797147844</v>
      </c>
      <c r="AC45" s="385">
        <f>((SQRT(POWER(AC42*(E49+E49*E60),2)+POWER(AC43*(E49+E49*E61),2)))/E49)*SIN(RADIANS(IF(E29=1,0,180)+IF(AC42=0,90,DEGREES(ATAN((AC43*(E49+E49*E61))/(AC42*(E49+E49*E60)))))))</f>
        <v>0.59461994695084786</v>
      </c>
      <c r="AD45" s="385">
        <f>((SQRT(POWER(AD42*(E49+E49*E60),2)+POWER(AD43*(E49+E49*E61),2)))/E49)*SIN(RADIANS(IF(E29=1,0,180)+IF(AD42=0,90,DEGREES(ATAN((AD43*(E49+E49*E61))/(AD42*(E49+E49*E60)))))))</f>
        <v>5.6305083630327264</v>
      </c>
      <c r="AE45" s="385">
        <f>((SQRT(POWER(AE42*(E49+E49*E60),2)+POWER(AE43*(E49+E49*E61),2)))/E49)*SIN(RADIANS(IF(E29=1,0,180)+IF(AE42=0,90,DEGREES(ATAN((AE43*(E49+E49*E61))/(AE42*(E49+E49*E60)))))))</f>
        <v>6.3116666666666665</v>
      </c>
      <c r="AF45" s="385">
        <f>((SQRT(POWER(AF42*(E49+E49*E60),2)+POWER(AF43*(E49+E49*E61),2)))/E49)*SIN(RADIANS(IF(E29=1,0,180)+IF(AF42=0,90,DEGREES(ATAN((AF43*(E49+E49*E61))/(AF42*(E49+E49*E60)))))))</f>
        <v>-6.3116666666666665</v>
      </c>
      <c r="AG45" s="385">
        <f>((SQRT(POWER(AG42*(E49+E49*E60),2)+POWER(AG43*(E49+E49*E61),2)))/E49)*SIN(RADIANS(IF(E29=1,0,180)+IF(AG42=0,90,DEGREES(ATAN((AG43*(E49+E49*E61))/(AG42*(E49+E49*E60)))))))</f>
        <v>-3.800936243322707</v>
      </c>
      <c r="AH45" s="385">
        <f>((SQRT(POWER(AH42*(E49+E49*E60),2)+POWER(AH43*(E49+E49*E61),2)))/E49)*SIN(RADIANS(IF(E29=1,0,180)+IF(AH42=0,90,DEGREES(ATAN((AH43*(E49+E49*E61))/(AH42*(E49+E49*E60)))))))</f>
        <v>-6.3116666666666665</v>
      </c>
      <c r="AI45" s="385">
        <f>((SQRT(POWER(AI42*(E49+E49*E60),2)+POWER(AI43*(E49+E49*E61),2)))/E49)*SIN(RADIANS(IF(E29=1,0,180)+IF(AI42=0,90,DEGREES(ATAN((AI43*(E49+E49*E61))/(AI42*(E49+E49*E60)))))))</f>
        <v>0</v>
      </c>
      <c r="AJ45" s="122"/>
      <c r="AK45" s="123"/>
    </row>
    <row r="46" spans="1:37" ht="15.75" thickBot="1" x14ac:dyDescent="0.3">
      <c r="A46" s="17"/>
      <c r="B46" s="43"/>
      <c r="C46" s="43"/>
      <c r="D46" s="43"/>
      <c r="E46" s="53"/>
      <c r="F46" s="122"/>
      <c r="G46" s="632"/>
      <c r="H46" s="44"/>
      <c r="I46" s="619" t="s">
        <v>135</v>
      </c>
      <c r="J46" s="17"/>
      <c r="K46" s="155">
        <f>IF(E53=1,AE56,AE56*(E49))</f>
        <v>3.6</v>
      </c>
      <c r="L46" s="69">
        <f>ROUNDUP(AE57,0)+5</f>
        <v>114</v>
      </c>
      <c r="M46" s="186" t="s">
        <v>42</v>
      </c>
      <c r="N46" s="77">
        <f>AE57</f>
        <v>108.77242876079609</v>
      </c>
      <c r="O46" s="188" t="s">
        <v>292</v>
      </c>
      <c r="P46" s="15">
        <v>0</v>
      </c>
      <c r="Q46" s="12">
        <v>0</v>
      </c>
      <c r="R46" s="16">
        <v>0</v>
      </c>
      <c r="S46" s="151" t="str">
        <f>IF(AND(ISNUMBER(P46),ISNUMBER(Q46),ISNUMBER(R46)),"","Err")</f>
        <v/>
      </c>
      <c r="T46" s="644"/>
      <c r="U46" s="44"/>
      <c r="V46" s="44" t="s">
        <v>109</v>
      </c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122"/>
      <c r="AK46" s="123"/>
    </row>
    <row r="47" spans="1:37" ht="15.75" thickBot="1" x14ac:dyDescent="0.3">
      <c r="A47" s="17"/>
      <c r="B47" s="50" t="s">
        <v>62</v>
      </c>
      <c r="C47" s="51" t="s">
        <v>63</v>
      </c>
      <c r="D47" s="50" t="s">
        <v>67</v>
      </c>
      <c r="E47" s="50" t="s">
        <v>68</v>
      </c>
      <c r="F47" s="122"/>
      <c r="G47" s="632"/>
      <c r="H47" s="44"/>
      <c r="I47" s="17"/>
      <c r="J47" s="64"/>
      <c r="K47" s="70"/>
      <c r="L47" s="71"/>
      <c r="M47" s="79"/>
      <c r="N47" s="70"/>
      <c r="O47" s="174"/>
      <c r="P47" s="335"/>
      <c r="Q47" s="335"/>
      <c r="R47" s="335"/>
      <c r="S47" s="122"/>
      <c r="T47" s="632"/>
      <c r="U47" s="44"/>
      <c r="V47" s="44" t="s">
        <v>217</v>
      </c>
      <c r="W47" s="358">
        <v>1</v>
      </c>
      <c r="X47" s="358">
        <v>2</v>
      </c>
      <c r="Y47" s="358">
        <v>3</v>
      </c>
      <c r="Z47" s="358">
        <v>4</v>
      </c>
      <c r="AA47" s="358">
        <v>5</v>
      </c>
      <c r="AB47" s="358">
        <v>6</v>
      </c>
      <c r="AC47" s="358">
        <v>7</v>
      </c>
      <c r="AD47" s="358">
        <v>8</v>
      </c>
      <c r="AE47" s="358">
        <v>9</v>
      </c>
      <c r="AF47" s="358">
        <v>10</v>
      </c>
      <c r="AG47" s="358">
        <v>11</v>
      </c>
      <c r="AH47" s="44"/>
      <c r="AI47" s="44"/>
      <c r="AJ47" s="122"/>
      <c r="AK47" s="123"/>
    </row>
    <row r="48" spans="1:37" x14ac:dyDescent="0.25">
      <c r="A48" s="17"/>
      <c r="B48" s="17"/>
      <c r="C48" s="17"/>
      <c r="D48" s="17"/>
      <c r="E48" s="17"/>
      <c r="F48" s="122"/>
      <c r="G48" s="632"/>
      <c r="H48" s="44"/>
      <c r="I48" s="288" t="s">
        <v>114</v>
      </c>
      <c r="J48" s="72"/>
      <c r="K48" s="354" t="str">
        <f>IF(E55="есть",IF(E56="есть","(предусмотрена)","(не возможна)"),"(не предусмотрена)")</f>
        <v>(предусмотрена)</v>
      </c>
      <c r="L48" s="355"/>
      <c r="M48" s="166"/>
      <c r="N48" s="166"/>
      <c r="O48" s="166"/>
      <c r="P48" s="166"/>
      <c r="Q48" s="166"/>
      <c r="R48" s="166"/>
      <c r="S48" s="122"/>
      <c r="T48" s="632"/>
      <c r="U48" s="44"/>
      <c r="V48" s="44" t="s">
        <v>204</v>
      </c>
      <c r="W48" s="386">
        <f>W42</f>
        <v>0</v>
      </c>
      <c r="X48" s="384">
        <f>IF(AND(AA33=1,W36&gt;=AA37,W36&lt;AA38,ABS(X42)&gt;=ABS(AA35)),AA35,X42)</f>
        <v>1.7660444431189779</v>
      </c>
      <c r="Y48" s="384">
        <f>IF(AND(AA33=1,W36&lt;AA37,ABS(Y42)&gt;=ABS(AA35)),Y42,X48)</f>
        <v>1.8793852415718166</v>
      </c>
      <c r="Z48" s="384">
        <f>IF(AA33=1,IF(ABS(AA35)&lt;=ABS(Y42),Z42,AA42),X48)</f>
        <v>1.2</v>
      </c>
      <c r="AA48" s="384">
        <f>IF(AND(AA33=1,OR(W36&lt;AA37,W36=AA37,AND(W36&gt;AA37,W36&lt;AA38))),AB42,X48)</f>
        <v>1.2</v>
      </c>
      <c r="AB48" s="384">
        <f>IF(AND(AA33=1,OR(W36&lt;AA37,W36=AA37,AND(W36&gt;AA37,W36&lt;AA38))),AC42,X48)</f>
        <v>2.1371580426032577</v>
      </c>
      <c r="AC48" s="384">
        <f>AD42</f>
        <v>3.2987615196815421</v>
      </c>
      <c r="AD48" s="384">
        <f>IF(W38=0+IF(E29=1,0,180),AC48,AE42)</f>
        <v>1.2678571428571432</v>
      </c>
      <c r="AE48" s="384">
        <f>IF(ABS(AG42)&lt;ABS(AH42),AF42,AH42)</f>
        <v>-0.54411906293519019</v>
      </c>
      <c r="AF48" s="384">
        <f>IF(ABS(AG42)&lt;ABS(AH42),AG42,AH42)</f>
        <v>-1.1232568334324384</v>
      </c>
      <c r="AG48" s="384">
        <f>AI42</f>
        <v>0</v>
      </c>
      <c r="AH48" s="44"/>
      <c r="AI48" s="44"/>
      <c r="AJ48" s="122"/>
      <c r="AK48" s="123"/>
    </row>
    <row r="49" spans="1:37" ht="15.75" thickBot="1" x14ac:dyDescent="0.3">
      <c r="A49" s="17"/>
      <c r="B49" s="46">
        <v>1</v>
      </c>
      <c r="C49" s="43" t="s">
        <v>128</v>
      </c>
      <c r="D49" s="43" t="s">
        <v>25</v>
      </c>
      <c r="E49" s="1">
        <v>1</v>
      </c>
      <c r="F49" s="151" t="str">
        <f>IF(ISNUMBER(E49),IF(OR(E49=1,E49=5),"","Не ном."),"Err")</f>
        <v/>
      </c>
      <c r="G49" s="644"/>
      <c r="H49" s="44"/>
      <c r="I49" s="46"/>
      <c r="J49" s="64"/>
      <c r="K49" s="70"/>
      <c r="L49" s="71"/>
      <c r="M49" s="79"/>
      <c r="N49" s="70"/>
      <c r="O49" s="174"/>
      <c r="P49" s="335"/>
      <c r="Q49" s="335"/>
      <c r="R49" s="335"/>
      <c r="S49" s="122"/>
      <c r="T49" s="632"/>
      <c r="U49" s="44"/>
      <c r="V49" s="44" t="s">
        <v>205</v>
      </c>
      <c r="W49" s="387">
        <f>W43</f>
        <v>0</v>
      </c>
      <c r="X49" s="385">
        <f>IF(AND(AA33=1,W36&gt;=AA37,W36&lt;AA38,ABS(X42)&gt;=ABS(AA35)),X48*TAN(RADIANS(W36)),X43)</f>
        <v>-0.64278760968653925</v>
      </c>
      <c r="Y49" s="385">
        <f>IF(AND(AA33=1,W36&lt;AA37,ABS(Y42)&gt;=ABS(AA35)),Y43,X49)</f>
        <v>-0.33138632523440748</v>
      </c>
      <c r="Z49" s="385">
        <f>IF(AA33=1,IF(ABS(AA35)&lt;=ABS(Y42),IF(W36&lt;=AA37,Z43,X49),IF(X49*POWER(-1,AE33)&gt;AA43*POWER(-1,AE33),X49,AA43)),X49)</f>
        <v>-0.21159237685015797</v>
      </c>
      <c r="AA49" s="385">
        <f>IF(AND(AA33=1,OR(W36&lt;AA37,W36=AA37,AND(W36&gt;AA37,W36&lt;AA38))),AB43,X49)</f>
        <v>0.21159237685015797</v>
      </c>
      <c r="AB49" s="385">
        <f>IF(AND(AA33=1,OR(W36&lt;AA37,W36=AA37,AND(W36&gt;AA37,W36&lt;AA38))),AC43,X49)</f>
        <v>0.37683862494904541</v>
      </c>
      <c r="AC49" s="385">
        <f>AD43</f>
        <v>3.5683179485816061</v>
      </c>
      <c r="AD49" s="385">
        <f>AE43</f>
        <v>4</v>
      </c>
      <c r="AE49" s="385">
        <f>IF(ABS(AG42)&lt;ABS(AH42),AF43,AH43)</f>
        <v>4</v>
      </c>
      <c r="AF49" s="385">
        <f>IF(ABS(AG42)&lt;ABS(AH42),AG43,AH43)</f>
        <v>2.4088320528055176</v>
      </c>
      <c r="AG49" s="385">
        <f>AI43</f>
        <v>0</v>
      </c>
      <c r="AH49" s="44"/>
      <c r="AI49" s="44"/>
      <c r="AJ49" s="122"/>
      <c r="AK49" s="123"/>
    </row>
    <row r="50" spans="1:37" ht="15.75" thickBot="1" x14ac:dyDescent="0.3">
      <c r="A50" s="17"/>
      <c r="B50" s="46"/>
      <c r="C50" s="43"/>
      <c r="D50" s="43"/>
      <c r="E50" s="131" t="str">
        <f>IF(OR(E49=1,E49=5),"","Не ном.")</f>
        <v/>
      </c>
      <c r="F50" s="122"/>
      <c r="G50" s="632"/>
      <c r="H50" s="44"/>
      <c r="I50" s="617" t="s">
        <v>136</v>
      </c>
      <c r="J50" s="64"/>
      <c r="K50" s="153">
        <f>IF(AND(E56="есть",(AB48-AA48)*100/W34&gt;=5),ROUNDUP(X56*IF(E53=1,1,E49)*1.1,1),"-")</f>
        <v>1.6</v>
      </c>
      <c r="L50" s="67">
        <f>IF(AND(E56="есть",(AB48-AA48)*100/W34&gt;=5),X57,"-")</f>
        <v>0</v>
      </c>
      <c r="M50" s="184" t="str">
        <f>IF(E56="есть",IF(E53=1,"уменьш. Z до","уменьш. U до"),"-")</f>
        <v>уменьш. U до</v>
      </c>
      <c r="N50" s="75">
        <f>IF(AND(E56="есть",(AB48-AA48)*100/W34&gt;=5),X56*IF(E53=1,1,E49),"-")</f>
        <v>1.3801690140845069</v>
      </c>
      <c r="O50" s="188" t="str">
        <f>IF(E53=1,"Z -&gt; ","U -&gt; ")</f>
        <v xml:space="preserve">U -&gt; </v>
      </c>
      <c r="P50" s="13">
        <v>0</v>
      </c>
      <c r="Q50" s="11">
        <v>0</v>
      </c>
      <c r="R50" s="14">
        <v>0</v>
      </c>
      <c r="S50" s="151" t="str">
        <f>IF(AND(ISNUMBER(P50),ISNUMBER(Q50),ISNUMBER(R50)),"","Err")</f>
        <v/>
      </c>
      <c r="T50" s="644"/>
      <c r="U50" s="44"/>
      <c r="V50" s="44" t="s">
        <v>194</v>
      </c>
      <c r="W50" s="386">
        <v>0</v>
      </c>
      <c r="X50" s="384">
        <f>((SQRT(POWER(X48*(E49+E49*E60),2)+POWER(X49*(E49+E49*E61),2)))/E49)*COS(RADIANS(IF(E29=1,0,180)+IF(X48=0,90,DEGREES(ATAN((X49*(E49+E49*E61))/(X48*(E49+E49*E60)))))))</f>
        <v>2.0311998482407847</v>
      </c>
      <c r="Y50" s="384">
        <f>((SQRT(POWER(Y48*(E49+E49*E60),2)+POWER(Y49*(E49+E49*E61),2)))/E49)*COS(RADIANS(IF(E29=1,0,180)+IF(Y48=0,90,DEGREES(ATAN((Y49*(E49+E49*E61))/(Y48*(E49+E49*E60)))))))</f>
        <v>2.1615577299542892</v>
      </c>
      <c r="Z50" s="384">
        <f>((SQRT(POWER(Z48*(E49+E49*E60),2)+POWER(Z49*(E49+E49*E61),2)))/E49)*COS(RADIANS(IF(E29=1,0,180)+IF(Z48=0,90,DEGREES(ATAN((Z49*(E49+E49*E61))/(Z48*(E49+E49*E60)))))))</f>
        <v>1.3801690140845069</v>
      </c>
      <c r="AA50" s="384">
        <f>((SQRT(POWER(AA48*(E49+E49*E60),2)+POWER(AA49*(E49+E49*E61),2)))/E49)*COS(RADIANS(IF(E29=1,0,180)+IF(AA48=0,90,DEGREES(ATAN((AA49*(E49+E49*E61))/(AA48*(E49+E49*E60)))))))</f>
        <v>1.3801690140845069</v>
      </c>
      <c r="AB50" s="384">
        <f>((SQRT(POWER(AB48*(E49+E49*E60),2)+POWER(AB49*(E49+E49*E61),2)))/E49)*COS(RADIANS(IF(E29=1,0,180)+IF(AB48=0,90,DEGREES(ATAN((AB49*(E49+E49*E61))/(AB48*(E49+E49*E60)))))))</f>
        <v>2.4580327571687608</v>
      </c>
      <c r="AC50" s="384">
        <f>((SQRT(POWER(AC48*(E49+E49*E60),2)+POWER(AC49*(E49+E49*E61),2)))/E49)*COS(RADIANS(IF(E29=1,0,180)+IF(AC48=0,90,DEGREES(ATAN((AC49*(E49+E49*E61))/(AC48*(E49+E49*E60)))))))</f>
        <v>3.79404036193232</v>
      </c>
      <c r="AD50" s="384">
        <f>((SQRT(POWER(AD48*(E49+E49*E60),2)+POWER(AD49*(E49+E49*E61),2)))/E49)*COS(RADIANS(IF(E29=1,0,180)+IF(AD48=0,90,DEGREES(ATAN((AD49*(E49+E49*E61))/(AD48*(E49+E49*E60)))))))</f>
        <v>1.4582142857142864</v>
      </c>
      <c r="AE50" s="384">
        <f>((SQRT(POWER(AE48*(E49+E49*E60),2)+POWER(AE49*(E49+E49*E61),2)))/E49)*COS(RADIANS(DEGREES(ATAN((AE49*(E49+E49*E61))/(AE48*(E49+E49*E60))))+IF(AE49&gt;0,IF(AE48&gt;0,0,180),IF(AE48&gt;0,360,180))))</f>
        <v>-0.62581355886320555</v>
      </c>
      <c r="AF50" s="384">
        <f>((SQRT(POWER(AF48*(E49+E49*E60),2)+POWER(AF49*(E49+E49*E61),2)))/E49)*COS(RADIANS(IF(E29=1,0,180)+IF(AF48=0,90,180+DEGREES(ATAN((AF49*(E49+E49*E61))/(AF48*(E49+E49*E60)))))))</f>
        <v>-1.2919035636351117</v>
      </c>
      <c r="AG50" s="384">
        <f>((SQRT(POWER(AG48*(E49+E49*E60),2)+POWER(AG49*(E49+E49*E61),2)))/E49)*COS(RADIANS(IF(AG48=0,90,DEGREES(ATAN((AG49*(E49+E49*E61))/(AG48*(E49+E49*E60)))))))</f>
        <v>0</v>
      </c>
      <c r="AH50" s="44"/>
      <c r="AI50" s="44"/>
      <c r="AJ50" s="122"/>
      <c r="AK50" s="123"/>
    </row>
    <row r="51" spans="1:37" ht="15.75" thickBot="1" x14ac:dyDescent="0.3">
      <c r="A51" s="17"/>
      <c r="B51" s="46">
        <v>2</v>
      </c>
      <c r="C51" s="43" t="s">
        <v>140</v>
      </c>
      <c r="D51" s="43" t="s">
        <v>141</v>
      </c>
      <c r="E51" s="1">
        <v>0</v>
      </c>
      <c r="F51" s="151" t="str">
        <f>IF(ISNUMBER(E51),"","Err")</f>
        <v/>
      </c>
      <c r="G51" s="644"/>
      <c r="H51" s="44"/>
      <c r="I51" s="619" t="s">
        <v>137</v>
      </c>
      <c r="J51" s="17"/>
      <c r="K51" s="155">
        <f>IF(AND(E56="есть",(AB48-AA48)*100/W34&gt;=5),Y56*IF(E53=1,1,E49),"-")</f>
        <v>2.2000000000000002</v>
      </c>
      <c r="L51" s="69">
        <f>IF(AND(E56="есть",(AB48-AA48)*100/W34&gt;=5),ROUNDDOWN(Y57-5,0),"-")</f>
        <v>8</v>
      </c>
      <c r="M51" s="186" t="str">
        <f>IF(E56="есть","увелич. fi до","-")</f>
        <v>увелич. fi до</v>
      </c>
      <c r="N51" s="77">
        <f>IF(AND(E56="есть",(AB48-AA48)*100/W34&gt;=5),Y57,"-")</f>
        <v>13.59910241015486</v>
      </c>
      <c r="O51" s="188" t="s">
        <v>292</v>
      </c>
      <c r="P51" s="13">
        <v>0</v>
      </c>
      <c r="Q51" s="11">
        <v>0</v>
      </c>
      <c r="R51" s="14">
        <v>0</v>
      </c>
      <c r="S51" s="151" t="str">
        <f>IF(AND(ISNUMBER(P51),ISNUMBER(Q51),ISNUMBER(R51)),"","Err")</f>
        <v/>
      </c>
      <c r="T51" s="644"/>
      <c r="U51" s="44"/>
      <c r="V51" s="44" t="s">
        <v>195</v>
      </c>
      <c r="W51" s="387">
        <v>0</v>
      </c>
      <c r="X51" s="385">
        <f>((SQRT(POWER(X48*(E49+E49*E60),2)+POWER(X49*(E49+E49*E61),2)))/E49)*SIN(RADIANS(IF(E29=1,0,180)+IF(X48=0,90,DEGREES(ATAN((X49*(E49+E49*E61))/(X48*(E49+E49*E60)))))))</f>
        <v>-1.0142652824512184</v>
      </c>
      <c r="Y51" s="385">
        <f>((SQRT(POWER(Y48*(E49+E49*E60),2)+POWER(Y49*(E49+E49*E61),2)))/E49)*SIN(RADIANS(IF(E29=1,0,180)+IF(Y48=0,90,DEGREES(ATAN((Y49*(E49+E49*E61))/(Y48*(E49+E49*E60)))))))</f>
        <v>-0.52290000569279216</v>
      </c>
      <c r="Z51" s="385">
        <f>((SQRT(POWER(Z48*(E49+E49*E60),2)+POWER(Z49*(E49+E49*E61),2)))/E49)*SIN(RADIANS(IF(E29=1,0,180)+IF(Z48=0,90,DEGREES(ATAN((Z49*(E49+E49*E61))/(Z48*(E49+E49*E60)))))))</f>
        <v>-0.33387513797147844</v>
      </c>
      <c r="AA51" s="385">
        <f>((SQRT(POWER(AA48*(E49+E49*E60),2)+POWER(AA49*(E49+E49*E61),2)))/E49)*SIN(RADIANS(IF(E29=1,0,180)+IF(AA48=0,90,DEGREES(ATAN((AA49*(E49+E49*E61))/(AA48*(E49+E49*E60)))))))</f>
        <v>0.33387513797147844</v>
      </c>
      <c r="AB51" s="385">
        <f>((SQRT(POWER(AB48*(E49+E49*E60),2)+POWER(AB49*(E49+E49*E61),2)))/E49)*SIN(RADIANS(IF(E29=1,0,180)+IF(AB48=0,90,DEGREES(ATAN((AB49*(E49+E49*E61))/(AB48*(E49+E49*E60)))))))</f>
        <v>0.59461994695084786</v>
      </c>
      <c r="AC51" s="385">
        <f>((SQRT(POWER(AC48*(E49+E49*E60),2)+POWER(AC49*(E49+E49*E61),2)))/E49)*SIN(RADIANS(IF(E29=1,0,180)+IF(AC48=0,90,DEGREES(ATAN((AC49*(E49+E49*E61))/(AC48*(E49+E49*E60)))))))</f>
        <v>5.6305083630327264</v>
      </c>
      <c r="AD51" s="385">
        <f>((SQRT(POWER(AD48*(E49+E49*E60),2)+POWER(AD49*(E49+E49*E61),2)))/E49)*SIN(RADIANS(IF(E29=1,0,180)+IF(AD48=0,90,DEGREES(ATAN((AD49*(E49+E49*E61))/(AD48*(E49+E49*E60)))))))</f>
        <v>6.3116666666666665</v>
      </c>
      <c r="AE51" s="385">
        <f>((SQRT(POWER(AE48*(E49+E49*E60),2)+POWER(AE49*(E49+E49*E61),2)))/E49)*SIN(RADIANS(DEGREES(ATAN((AE49*(E49+E49*E61))/(AE48*(E49+E49*E60))))+IF(AE49&gt;0,IF(AE48&gt;0,0,180),IF(AE48&gt;0,360,180))))</f>
        <v>6.3116666666666665</v>
      </c>
      <c r="AF51" s="385">
        <f>((SQRT(POWER(AF48*(E49+E49*E60),2)+POWER(AF49*(E49+E49*E61),2)))/E49)*SIN(RADIANS(IF(E29=1,0,180)+IF(AF48=0,90,180+DEGREES(ATAN((AF49*(E49+E49*E61))/(AF48*(E49+E49*E60)))))))</f>
        <v>3.800936243322707</v>
      </c>
      <c r="AG51" s="385">
        <f>((SQRT(POWER(AG48*(E49+E49*E60),2)+POWER(AG49*(E49+E49*E61),2)))/E49)*SIN(RADIANS(IF(AG48=0,90,DEGREES(ATAN((AG49*(E49+E49*E61))/(AG48*(E49+E49*E60)))))))</f>
        <v>0</v>
      </c>
      <c r="AH51" s="44"/>
      <c r="AI51" s="44"/>
      <c r="AJ51" s="122"/>
      <c r="AK51" s="123"/>
    </row>
    <row r="52" spans="1:37" x14ac:dyDescent="0.25">
      <c r="A52" s="17"/>
      <c r="B52" s="17"/>
      <c r="C52" s="17"/>
      <c r="D52" s="17"/>
      <c r="E52" s="10" t="s">
        <v>590</v>
      </c>
      <c r="F52" s="122"/>
      <c r="G52" s="632"/>
      <c r="H52" s="44"/>
      <c r="I52" s="17"/>
      <c r="J52" s="17"/>
      <c r="K52" s="166"/>
      <c r="L52" s="44"/>
      <c r="M52" s="44"/>
      <c r="N52" s="44"/>
      <c r="O52" s="44"/>
      <c r="P52" s="44"/>
      <c r="Q52" s="44"/>
      <c r="R52" s="44"/>
      <c r="S52" s="122"/>
      <c r="T52" s="632"/>
      <c r="U52" s="44"/>
      <c r="V52" s="44" t="s">
        <v>112</v>
      </c>
      <c r="W52" s="388"/>
      <c r="X52" s="388"/>
      <c r="Y52" s="388"/>
      <c r="Z52" s="388"/>
      <c r="AA52" s="388"/>
      <c r="AB52" s="388"/>
      <c r="AC52" s="388"/>
      <c r="AD52" s="388"/>
      <c r="AE52" s="388"/>
      <c r="AF52" s="388"/>
      <c r="AG52" s="388"/>
      <c r="AH52" s="44"/>
      <c r="AI52" s="44"/>
      <c r="AJ52" s="122"/>
      <c r="AK52" s="123"/>
    </row>
    <row r="53" spans="1:37" ht="15.75" thickBot="1" x14ac:dyDescent="0.3">
      <c r="A53" s="17"/>
      <c r="B53" s="46">
        <v>3</v>
      </c>
      <c r="C53" s="43" t="s">
        <v>115</v>
      </c>
      <c r="D53" s="47" t="s">
        <v>56</v>
      </c>
      <c r="E53" s="9">
        <v>2</v>
      </c>
      <c r="F53" s="151" t="str">
        <f>IF(OR(E53=1,E53=2),"","Err")</f>
        <v/>
      </c>
      <c r="G53" s="644"/>
      <c r="H53" s="44"/>
      <c r="I53" s="288" t="s">
        <v>138</v>
      </c>
      <c r="J53" s="17"/>
      <c r="K53" s="137" t="str">
        <f>IF(E63="есть",IF(E64="есть","(предусмотрена)","(не возможна)"),"(не предусмотрена)")</f>
        <v>(предусмотрена)</v>
      </c>
      <c r="L53" s="44"/>
      <c r="M53" s="44"/>
      <c r="N53" s="44"/>
      <c r="O53" s="44"/>
      <c r="P53" s="44"/>
      <c r="Q53" s="336"/>
      <c r="R53" s="336"/>
      <c r="S53" s="122"/>
      <c r="T53" s="632"/>
      <c r="U53" s="44"/>
      <c r="V53" s="337" t="s">
        <v>217</v>
      </c>
      <c r="W53" s="358">
        <v>1</v>
      </c>
      <c r="X53" s="358">
        <v>2</v>
      </c>
      <c r="Y53" s="358">
        <v>3</v>
      </c>
      <c r="Z53" s="358">
        <v>4</v>
      </c>
      <c r="AA53" s="358">
        <v>5</v>
      </c>
      <c r="AB53" s="358">
        <v>6</v>
      </c>
      <c r="AC53" s="358">
        <v>7</v>
      </c>
      <c r="AD53" s="358">
        <v>8</v>
      </c>
      <c r="AE53" s="358">
        <v>9</v>
      </c>
      <c r="AF53" s="388"/>
      <c r="AG53" s="388"/>
      <c r="AH53" s="44"/>
      <c r="AI53" s="44"/>
      <c r="AJ53" s="122"/>
      <c r="AK53" s="123"/>
    </row>
    <row r="54" spans="1:37" x14ac:dyDescent="0.25">
      <c r="A54" s="17"/>
      <c r="B54" s="83"/>
      <c r="C54" s="83"/>
      <c r="D54" s="17"/>
      <c r="E54" s="150"/>
      <c r="F54" s="122"/>
      <c r="G54" s="632"/>
      <c r="H54" s="44"/>
      <c r="I54" s="17"/>
      <c r="J54" s="17"/>
      <c r="K54" s="166"/>
      <c r="L54" s="44"/>
      <c r="M54" s="44"/>
      <c r="N54" s="44"/>
      <c r="O54" s="44"/>
      <c r="P54" s="44"/>
      <c r="Q54" s="336"/>
      <c r="R54" s="336"/>
      <c r="S54" s="122"/>
      <c r="T54" s="632"/>
      <c r="U54" s="44"/>
      <c r="V54" s="337" t="s">
        <v>194</v>
      </c>
      <c r="W54" s="386">
        <f>ROUNDDOWN(SQRT(POWER(X50,2)+POWER(X51,2))*0.9,1)*COS(RADIANS(X36))</f>
        <v>1.7893244197026186</v>
      </c>
      <c r="X54" s="384">
        <f>IF(AND(AA34=1,(DEGREES(ATAN(Z51/Z50))+180*AE33)&lt;AB38),AB35,IF(X36&gt;=AB38,W54,X34))</f>
        <v>1.3801690140845069</v>
      </c>
      <c r="Y54" s="384">
        <f>IF(AND(ABS(AB35)&lt;=ABS(X34/(1-TAN(RADIANS(AB38))/TAN(RADIANS(X35)))),AB38&gt;=X36,AA34=1,(DEGREES(ATAN(Z51/Z50))+180*AE33)&lt;AB38),ROUNDDOWN((AA50+0.75*(AB50-AA50))/COS(RADIANS(AB38)),1)*COS(RADIANS(AB38)),X54)</f>
        <v>2.1383223051776667</v>
      </c>
      <c r="Z54" s="384">
        <f>IF(AND(X45*AE45&lt;=0,OR(ABS(X34)&lt;=ABS(AB35),AA34=0)),X34,(X34*TAN(RADIANS(X35))/(TAN(RADIANS(X35))-TAN(RADIANS(ROUND(DEGREES(ATAN(AB51/AB50))+3,0))))))</f>
        <v>2.5033252076913102</v>
      </c>
      <c r="AA54" s="384">
        <f>X34*POWER(SIN(RADIANS(X35)),2)+COS(RADIANS(X35))*SQRT(POWER(ROUNDDOWN(0.9*(SQRT(POWER(AC50,2)+POWER(AC51,2))),IF(AC51&lt;1,2,1)),2)-POWER(X34,2)*POWER(SIN(RADIANS(X35)),2))</f>
        <v>3.6056267871996139</v>
      </c>
      <c r="AB54" s="384">
        <f>IF(AE37=0,AD54,X33*(1-TAN(RADIANS(X38))/TAN(RADIANS(AE35)))/(TAN(RADIANS(ROUND(DEGREES(ATAN(AC51/AC50))+2,0)))-TAN(RADIANS(X38))))</f>
        <v>3.5608281186061199</v>
      </c>
      <c r="AC54" s="384">
        <f>IF(AE37=0,AD54,X33*(1-TAN(RADIANS(X38))/TAN(RADIANS(AE35)))/(TAN(RADIANS(ROUNDDOWN(AE35-1,0)))-TAN(RADIANS(X38))))</f>
        <v>1.6743200063021226</v>
      </c>
      <c r="AD54" s="384">
        <f>IF(AD50*AE50&lt;0,0,X33/(TAN(RADIANS(ROUNDDOWN(DEGREES(ATAN(AE51/AE50))+0.5*(DEGREES(ATAN(AD51/AD50))-DEGREES(ATAN(AE51/AE50))),0)))))</f>
        <v>0</v>
      </c>
      <c r="AE54" s="384">
        <f>ROUNDDOWN(SQRT(POWER(AF50,2)+POWER(AF51,2))*0.9,1)*COS(RADIANS(X37))</f>
        <v>-1.1585164387820244</v>
      </c>
      <c r="AF54" s="388"/>
      <c r="AG54" s="388"/>
      <c r="AH54" s="358"/>
      <c r="AI54" s="358"/>
      <c r="AJ54" s="122"/>
      <c r="AK54" s="123"/>
    </row>
    <row r="55" spans="1:37" ht="15.75" thickBot="1" x14ac:dyDescent="0.3">
      <c r="A55" s="17"/>
      <c r="B55" s="46">
        <v>4</v>
      </c>
      <c r="C55" s="43" t="s">
        <v>494</v>
      </c>
      <c r="D55" s="47" t="s">
        <v>56</v>
      </c>
      <c r="E55" s="99" t="str">
        <f>IF(AND(ABS(E26)&gt;0,ABS(E26)&lt;ABS(E19/(1-TAN(RADIANS(E27))/TAN(RADIANS(E21)))),E27&gt;=1,E27&lt;=89,E22&lt;E27),"есть","нет")</f>
        <v>есть</v>
      </c>
      <c r="F55" s="122"/>
      <c r="G55" s="632"/>
      <c r="H55" s="44"/>
      <c r="I55" s="617" t="s">
        <v>164</v>
      </c>
      <c r="J55" s="17"/>
      <c r="K55" s="153">
        <f>IF(E24=0,"-",ROUNDUP(AB56*IF(E53=1,1,E49)*1.1,1))</f>
        <v>7.3999999999999995</v>
      </c>
      <c r="L55" s="67">
        <f>IF(E24=0,"-",AB57)</f>
        <v>58.000000000000007</v>
      </c>
      <c r="M55" s="184" t="str">
        <f>IF(E24=0,"-",IF(E53=1,"уменьш. Z до","уменьш. U до"))</f>
        <v>уменьш. U до</v>
      </c>
      <c r="N55" s="75">
        <f>IF(E24=0,"-",AB56*IF(E53=1,1,E49))</f>
        <v>6.7195672226761767</v>
      </c>
      <c r="O55" s="188" t="str">
        <f>IF(E53=1,"Z -&gt; ","U -&gt; ")</f>
        <v xml:space="preserve">U -&gt; </v>
      </c>
      <c r="P55" s="13">
        <v>0</v>
      </c>
      <c r="Q55" s="11">
        <v>0</v>
      </c>
      <c r="R55" s="14">
        <v>0</v>
      </c>
      <c r="S55" s="151" t="str">
        <f>IF(AND(ISNUMBER(P55),ISNUMBER(Q55),ISNUMBER(R55)),"","Err")</f>
        <v/>
      </c>
      <c r="T55" s="644"/>
      <c r="U55" s="44"/>
      <c r="V55" s="337" t="s">
        <v>195</v>
      </c>
      <c r="W55" s="387">
        <f>W54*TAN(RADIANS(X36))</f>
        <v>-0.89348649741106179</v>
      </c>
      <c r="X55" s="385">
        <f>IF(AND(AA34=1,(DEGREES(ATAN(Z51/Z50))+180*AE33)&lt;AB38),IF(Z51*AA51&lt;=0,0,X54*TAN(RADIANS(ROUNDUP(DEGREES(ATAN(Z51/Z50))+2,0)))),IF(X36&gt;=AB38,W55,0))</f>
        <v>0</v>
      </c>
      <c r="Y55" s="385">
        <f>IF(AND(ABS(AB35)&lt;=ABS(X34/(1-TAN(RADIANS(AB38))/TAN(RADIANS(X35)))),AB38&gt;=X36,AA34=1,(DEGREES(ATAN(Z51/Z50))+180*AE33)&lt;AB38),Y54*TAN(RADIANS(AB38)),X55)</f>
        <v>0.51727915014977255</v>
      </c>
      <c r="Z55" s="385">
        <f>IF(AND(X45*AE45&lt;=0,OR(ABS(X34)&lt;=ABS(AB35),AA34=0)),0,(Z54*TAN(RADIANS(ROUND(DEGREES(ATAN(AB51/AB50))+3,0)))))</f>
        <v>0.76534332166010677</v>
      </c>
      <c r="AA55" s="385">
        <f>TAN(RADIANS(X35))*(AA54-X34)</f>
        <v>4.9203105055909404</v>
      </c>
      <c r="AB55" s="385">
        <f>IF(AE37=0,AD55,X33+TAN(RADIANS(X38))*(AB54-X33/TAN(RADIANS(AE35))))</f>
        <v>5.6985161901856554</v>
      </c>
      <c r="AC55" s="385">
        <f>IF(AE37=0,AD55,X33+TAN(RADIANS(X38))*(AC54-X33/TAN(RADIANS(AE35))))</f>
        <v>6.2486473316485656</v>
      </c>
      <c r="AD55" s="385">
        <f>AE51</f>
        <v>6.3116666666666665</v>
      </c>
      <c r="AE55" s="385">
        <f>AE54*TAN(RADIANS(X37))</f>
        <v>3.4084952194585543</v>
      </c>
      <c r="AF55" s="388"/>
      <c r="AG55" s="388"/>
      <c r="AH55" s="358"/>
      <c r="AI55" s="358"/>
      <c r="AJ55" s="122"/>
      <c r="AK55" s="123"/>
    </row>
    <row r="56" spans="1:37" ht="15.75" thickBot="1" x14ac:dyDescent="0.3">
      <c r="A56" s="17"/>
      <c r="B56" s="46">
        <v>5</v>
      </c>
      <c r="C56" s="43" t="s">
        <v>495</v>
      </c>
      <c r="D56" s="47" t="s">
        <v>56</v>
      </c>
      <c r="E56" s="200" t="str">
        <f>IF(E55="есть",IF(ABS(TAN(RADIANS(E21))/(TAN(RADIANS(E21))-TAN(RADIANS(E27))))-(E26/E19)&gt;=0.06,"есть","нет"),"нет")</f>
        <v>есть</v>
      </c>
      <c r="F56" s="122"/>
      <c r="G56" s="632"/>
      <c r="H56" s="44"/>
      <c r="I56" s="619" t="s">
        <v>165</v>
      </c>
      <c r="J56" s="17"/>
      <c r="K56" s="155">
        <f>IF(E24=0,"-",ROUNDUP(AC56*IF(E53=1,1,E49)*1.1,1))</f>
        <v>7.1999999999999993</v>
      </c>
      <c r="L56" s="69">
        <f>IF(E24=0,"-",AC57)</f>
        <v>75</v>
      </c>
      <c r="M56" s="186" t="str">
        <f>IF(E24=0,"-",IF(E53=1,"уменьш. Z до","уменьш. U до"))</f>
        <v>уменьш. U до</v>
      </c>
      <c r="N56" s="77">
        <f>IF(E24=0,"-",AC56*IF(E53=1,1,E49))</f>
        <v>6.4690757422387843</v>
      </c>
      <c r="O56" s="188" t="str">
        <f>IF(E53=1,"Z -&gt; ","U -&gt; ")</f>
        <v xml:space="preserve">U -&gt; </v>
      </c>
      <c r="P56" s="13">
        <v>0</v>
      </c>
      <c r="Q56" s="11">
        <v>0</v>
      </c>
      <c r="R56" s="14">
        <v>0</v>
      </c>
      <c r="S56" s="151" t="str">
        <f>IF(AND(ISNUMBER(P56),ISNUMBER(Q56),ISNUMBER(R56)),"","Err")</f>
        <v/>
      </c>
      <c r="T56" s="644"/>
      <c r="U56" s="44"/>
      <c r="V56" s="337" t="s">
        <v>198</v>
      </c>
      <c r="W56" s="386">
        <f>SQRT(POWER(W54,2)+POWER(W55,2))</f>
        <v>2</v>
      </c>
      <c r="X56" s="384">
        <f>SQRT(POWER(X54,2)+POWER(X55,2))</f>
        <v>1.3801690140845069</v>
      </c>
      <c r="Y56" s="384">
        <f t="shared" ref="Y56:AE56" si="2">SQRT(POWER(Y54,2)+POWER(Y55,2))</f>
        <v>2.2000000000000002</v>
      </c>
      <c r="Z56" s="384">
        <f t="shared" si="2"/>
        <v>2.6177065334892808</v>
      </c>
      <c r="AA56" s="384">
        <f t="shared" si="2"/>
        <v>6.0999999999999988</v>
      </c>
      <c r="AB56" s="384">
        <f t="shared" si="2"/>
        <v>6.7195672226761767</v>
      </c>
      <c r="AC56" s="384">
        <f t="shared" si="2"/>
        <v>6.4690757422387843</v>
      </c>
      <c r="AD56" s="384">
        <f>SQRT(POWER(AD54,2)+POWER(AD55,2))</f>
        <v>6.3116666666666665</v>
      </c>
      <c r="AE56" s="384">
        <f t="shared" si="2"/>
        <v>3.6</v>
      </c>
      <c r="AF56" s="388"/>
      <c r="AG56" s="388"/>
      <c r="AH56" s="358"/>
      <c r="AI56" s="358"/>
      <c r="AJ56" s="122"/>
      <c r="AK56" s="123"/>
    </row>
    <row r="57" spans="1:37" ht="15.75" thickBot="1" x14ac:dyDescent="0.3">
      <c r="A57" s="17"/>
      <c r="B57" s="46"/>
      <c r="C57" s="43"/>
      <c r="D57" s="686"/>
      <c r="E57" s="200"/>
      <c r="F57" s="122"/>
      <c r="G57" s="632"/>
      <c r="H57" s="44"/>
      <c r="I57" s="17"/>
      <c r="J57" s="17"/>
      <c r="K57" s="166"/>
      <c r="L57" s="44"/>
      <c r="M57" s="44"/>
      <c r="N57" s="44"/>
      <c r="O57" s="44"/>
      <c r="P57" s="44"/>
      <c r="Q57" s="336"/>
      <c r="R57" s="336"/>
      <c r="S57" s="122"/>
      <c r="T57" s="632"/>
      <c r="U57" s="44"/>
      <c r="V57" s="337" t="s">
        <v>197</v>
      </c>
      <c r="W57" s="387">
        <f>IF(W54=0,90,DEGREES(ATAN(W55/W54)))+IF(W55&gt;=0,IF(W54&gt;=0,0,180),IF(W54&gt;0,360,180))</f>
        <v>333.46507463507481</v>
      </c>
      <c r="X57" s="385">
        <f t="shared" ref="X57:AE57" si="3">IF(X54=0,90,DEGREES(ATAN(X55/X54)))+IF(X55&gt;=0,IF(X54&gt;=0,0,180),IF(X54&gt;0,360,180))</f>
        <v>0</v>
      </c>
      <c r="Y57" s="385">
        <f t="shared" si="3"/>
        <v>13.59910241015486</v>
      </c>
      <c r="Z57" s="385">
        <f t="shared" si="3"/>
        <v>17</v>
      </c>
      <c r="AA57" s="385">
        <f t="shared" si="3"/>
        <v>53.76586254679394</v>
      </c>
      <c r="AB57" s="385">
        <f t="shared" si="3"/>
        <v>58.000000000000007</v>
      </c>
      <c r="AC57" s="385">
        <f t="shared" si="3"/>
        <v>75</v>
      </c>
      <c r="AD57" s="385">
        <f t="shared" si="3"/>
        <v>90</v>
      </c>
      <c r="AE57" s="385">
        <f t="shared" si="3"/>
        <v>108.77242876079609</v>
      </c>
      <c r="AF57" s="388"/>
      <c r="AG57" s="388"/>
      <c r="AH57" s="358"/>
      <c r="AI57" s="358"/>
      <c r="AJ57" s="122"/>
      <c r="AK57" s="123"/>
    </row>
    <row r="58" spans="1:37" ht="15.75" thickBot="1" x14ac:dyDescent="0.3">
      <c r="A58" s="17"/>
      <c r="B58" s="46">
        <v>6</v>
      </c>
      <c r="C58" s="43" t="s">
        <v>96</v>
      </c>
      <c r="D58" s="17" t="s">
        <v>56</v>
      </c>
      <c r="E58" s="54" t="str">
        <f>IF(E29=1,"вперед","назад")</f>
        <v>вперед</v>
      </c>
      <c r="F58" s="122"/>
      <c r="G58" s="632"/>
      <c r="H58" s="44"/>
      <c r="I58" s="289" t="s">
        <v>158</v>
      </c>
      <c r="J58" s="290"/>
      <c r="K58" s="356" t="s">
        <v>359</v>
      </c>
      <c r="L58" s="120">
        <f>IF(OR(E51="",E51=0),0.1*E49,E51)</f>
        <v>0.1</v>
      </c>
      <c r="M58" s="337" t="s">
        <v>159</v>
      </c>
      <c r="N58" s="44"/>
      <c r="O58" s="44"/>
      <c r="P58" s="44"/>
      <c r="Q58" s="336"/>
      <c r="R58" s="336"/>
      <c r="S58" s="122"/>
      <c r="T58" s="632"/>
      <c r="U58" s="44"/>
      <c r="V58" s="337" t="s">
        <v>196</v>
      </c>
      <c r="W58" s="386">
        <f>W56*E49</f>
        <v>2</v>
      </c>
      <c r="X58" s="384">
        <f>X56*E49</f>
        <v>1.3801690140845069</v>
      </c>
      <c r="Y58" s="384">
        <f>Y56*E49</f>
        <v>2.2000000000000002</v>
      </c>
      <c r="Z58" s="384">
        <f>Z56*E49</f>
        <v>2.6177065334892808</v>
      </c>
      <c r="AA58" s="384">
        <f>AA56*E49</f>
        <v>6.0999999999999988</v>
      </c>
      <c r="AB58" s="384">
        <f>AB56*E49</f>
        <v>6.7195672226761767</v>
      </c>
      <c r="AC58" s="384">
        <f>AC56*E49</f>
        <v>6.4690757422387843</v>
      </c>
      <c r="AD58" s="384">
        <f>AD56*E49</f>
        <v>6.3116666666666665</v>
      </c>
      <c r="AE58" s="384">
        <f>AE56*E49</f>
        <v>3.6</v>
      </c>
      <c r="AF58" s="388"/>
      <c r="AG58" s="388"/>
      <c r="AH58" s="358"/>
      <c r="AI58" s="358"/>
      <c r="AJ58" s="122"/>
      <c r="AK58" s="123"/>
    </row>
    <row r="59" spans="1:37" ht="15.75" thickBot="1" x14ac:dyDescent="0.3">
      <c r="A59" s="17"/>
      <c r="B59" s="46"/>
      <c r="C59" s="83"/>
      <c r="D59" s="64"/>
      <c r="E59" s="99"/>
      <c r="F59" s="122"/>
      <c r="G59" s="632"/>
      <c r="H59" s="44"/>
      <c r="I59" s="17"/>
      <c r="J59" s="17"/>
      <c r="K59" s="166"/>
      <c r="L59" s="44"/>
      <c r="M59" s="44"/>
      <c r="N59" s="44"/>
      <c r="O59" s="44"/>
      <c r="P59" s="44"/>
      <c r="Q59" s="336"/>
      <c r="R59" s="336"/>
      <c r="S59" s="122"/>
      <c r="T59" s="632"/>
      <c r="U59" s="44"/>
      <c r="V59" s="337" t="s">
        <v>197</v>
      </c>
      <c r="W59" s="387">
        <f t="shared" ref="W59:AE59" si="4">W57</f>
        <v>333.46507463507481</v>
      </c>
      <c r="X59" s="385">
        <f t="shared" si="4"/>
        <v>0</v>
      </c>
      <c r="Y59" s="385">
        <f t="shared" si="4"/>
        <v>13.59910241015486</v>
      </c>
      <c r="Z59" s="385">
        <f t="shared" si="4"/>
        <v>17</v>
      </c>
      <c r="AA59" s="385">
        <f t="shared" si="4"/>
        <v>53.76586254679394</v>
      </c>
      <c r="AB59" s="385">
        <f t="shared" si="4"/>
        <v>58.000000000000007</v>
      </c>
      <c r="AC59" s="385">
        <f t="shared" si="4"/>
        <v>75</v>
      </c>
      <c r="AD59" s="385">
        <f t="shared" si="4"/>
        <v>90</v>
      </c>
      <c r="AE59" s="385">
        <f t="shared" si="4"/>
        <v>108.77242876079609</v>
      </c>
      <c r="AF59" s="388"/>
      <c r="AG59" s="388"/>
      <c r="AH59" s="166"/>
      <c r="AI59" s="166"/>
      <c r="AJ59" s="122"/>
      <c r="AK59" s="123"/>
    </row>
    <row r="60" spans="1:37" ht="15.75" thickBot="1" x14ac:dyDescent="0.3">
      <c r="A60" s="17"/>
      <c r="B60" s="46">
        <v>7</v>
      </c>
      <c r="C60" s="52" t="s">
        <v>28</v>
      </c>
      <c r="D60" s="47" t="s">
        <v>26</v>
      </c>
      <c r="E60" s="54">
        <f>E39*(E35-E33)/(3*E33)</f>
        <v>0.15014084507042252</v>
      </c>
      <c r="F60" s="122"/>
      <c r="G60" s="632"/>
      <c r="H60" s="44"/>
      <c r="I60" s="620" t="s">
        <v>163</v>
      </c>
      <c r="J60" s="17"/>
      <c r="K60" s="162">
        <f>ROUNDUP(AD56*IF(E53=1,1,2*L58)*1.1,1)</f>
        <v>1.4000000000000001</v>
      </c>
      <c r="L60" s="117">
        <f>AD57</f>
        <v>90</v>
      </c>
      <c r="M60" s="10" t="str">
        <f>IF(E53=1,"уменьш. Z до","уменьш. U до")</f>
        <v>уменьш. U до</v>
      </c>
      <c r="N60" s="118">
        <f>AD56*IF(E53=1,1,L58)</f>
        <v>0.63116666666666665</v>
      </c>
      <c r="O60" s="188" t="str">
        <f>IF(E53=1,"Z -&gt; ","U -&gt; ")</f>
        <v xml:space="preserve">U -&gt; </v>
      </c>
      <c r="P60" s="13">
        <v>0</v>
      </c>
      <c r="Q60" s="11">
        <v>0</v>
      </c>
      <c r="R60" s="14">
        <v>0</v>
      </c>
      <c r="S60" s="151" t="str">
        <f>IF(AND(ISNUMBER(P60),ISNUMBER(Q60),ISNUMBER(R60)),"","Err")</f>
        <v/>
      </c>
      <c r="T60" s="644"/>
      <c r="U60" s="44"/>
      <c r="V60" s="44" t="s">
        <v>204</v>
      </c>
      <c r="W60" s="386">
        <f>W54/(1+E60)</f>
        <v>1.5557437398834917</v>
      </c>
      <c r="X60" s="384">
        <f>X54/(1+E60)</f>
        <v>1.2</v>
      </c>
      <c r="Y60" s="384">
        <f>Y54/(1+E60)</f>
        <v>1.8591829986237367</v>
      </c>
      <c r="Z60" s="384">
        <f>Z54/(1+E60)</f>
        <v>2.1765379591731939</v>
      </c>
      <c r="AA60" s="384">
        <f>AA54/(1+E60)</f>
        <v>3.1349436920300344</v>
      </c>
      <c r="AB60" s="384">
        <f>AB54/(1+E60)</f>
        <v>3.0959930984696857</v>
      </c>
      <c r="AC60" s="384">
        <f>AC54/(1+E60)</f>
        <v>1.4557521485115199</v>
      </c>
      <c r="AD60" s="384">
        <f>AD54/(1+E60)</f>
        <v>0</v>
      </c>
      <c r="AE60" s="384">
        <f>AE54/(1+E60)</f>
        <v>-1.007282233082583</v>
      </c>
      <c r="AF60" s="388"/>
      <c r="AG60" s="388"/>
      <c r="AH60" s="166"/>
      <c r="AI60" s="166"/>
      <c r="AJ60" s="122"/>
      <c r="AK60" s="123"/>
    </row>
    <row r="61" spans="1:37" ht="15.75" thickBot="1" x14ac:dyDescent="0.3">
      <c r="A61" s="17"/>
      <c r="B61" s="46">
        <v>8</v>
      </c>
      <c r="C61" s="52" t="s">
        <v>29</v>
      </c>
      <c r="D61" s="47" t="s">
        <v>27</v>
      </c>
      <c r="E61" s="54">
        <f>E40*(E34-E32)/(3*E32)</f>
        <v>0.57791666666666663</v>
      </c>
      <c r="F61" s="122"/>
      <c r="G61" s="632"/>
      <c r="H61" s="44"/>
      <c r="I61" s="74"/>
      <c r="J61" s="17"/>
      <c r="K61" s="166"/>
      <c r="L61" s="44"/>
      <c r="M61" s="44"/>
      <c r="N61" s="44"/>
      <c r="O61" s="44"/>
      <c r="P61" s="44"/>
      <c r="Q61" s="336"/>
      <c r="R61" s="336"/>
      <c r="S61" s="122"/>
      <c r="T61" s="632"/>
      <c r="U61" s="44"/>
      <c r="V61" s="44" t="s">
        <v>205</v>
      </c>
      <c r="W61" s="387">
        <f>W55/(1+E61)</f>
        <v>-0.56624441346357235</v>
      </c>
      <c r="X61" s="385">
        <f>X55/(1+E61)</f>
        <v>0</v>
      </c>
      <c r="Y61" s="385">
        <f>Y55/(1+E61)</f>
        <v>0.3278241247318337</v>
      </c>
      <c r="Z61" s="385">
        <f>Z55/(1+E61)</f>
        <v>0.48503405650495279</v>
      </c>
      <c r="AA61" s="385">
        <f>AA55/(1+E61)</f>
        <v>3.1182321662049794</v>
      </c>
      <c r="AB61" s="385">
        <f>AB55/(1+E61)</f>
        <v>3.6114177070096574</v>
      </c>
      <c r="AC61" s="385">
        <f>AC55/(1+E61)</f>
        <v>3.9600616836431364</v>
      </c>
      <c r="AD61" s="385">
        <f>AD55/(1+E61)</f>
        <v>4</v>
      </c>
      <c r="AE61" s="385">
        <f>AE55/(1+E61)</f>
        <v>2.1601237197519225</v>
      </c>
      <c r="AF61" s="388"/>
      <c r="AG61" s="388"/>
      <c r="AH61" s="44"/>
      <c r="AI61" s="44"/>
      <c r="AJ61" s="122"/>
      <c r="AK61" s="123"/>
    </row>
    <row r="62" spans="1:37" ht="15.75" x14ac:dyDescent="0.25">
      <c r="A62" s="17"/>
      <c r="B62" s="46"/>
      <c r="C62" s="52"/>
      <c r="D62" s="686"/>
      <c r="E62" s="54"/>
      <c r="F62" s="122"/>
      <c r="G62" s="632"/>
      <c r="H62" s="44"/>
      <c r="I62" s="489" t="s">
        <v>514</v>
      </c>
      <c r="J62" s="4"/>
      <c r="K62" s="4"/>
      <c r="L62" s="4"/>
      <c r="M62" s="4"/>
      <c r="N62" s="4"/>
      <c r="O62" s="4"/>
      <c r="P62" s="4"/>
      <c r="Q62" s="4"/>
      <c r="R62" s="4"/>
      <c r="S62" s="122"/>
      <c r="T62" s="632"/>
      <c r="U62" s="44"/>
      <c r="V62" s="388"/>
      <c r="W62" s="388"/>
      <c r="X62" s="388"/>
      <c r="Y62" s="388"/>
      <c r="Z62" s="388"/>
      <c r="AA62" s="388"/>
      <c r="AB62" s="388"/>
      <c r="AC62" s="388"/>
      <c r="AD62" s="388"/>
      <c r="AE62" s="388"/>
      <c r="AF62" s="388"/>
      <c r="AG62" s="388"/>
      <c r="AH62" s="44"/>
      <c r="AI62" s="44"/>
      <c r="AJ62" s="122"/>
      <c r="AK62" s="123"/>
    </row>
    <row r="63" spans="1:37" ht="15.75" customHeight="1" x14ac:dyDescent="0.25">
      <c r="A63" s="17"/>
      <c r="B63" s="46">
        <v>9</v>
      </c>
      <c r="C63" s="43" t="s">
        <v>558</v>
      </c>
      <c r="D63" s="686" t="s">
        <v>56</v>
      </c>
      <c r="E63" s="54" t="str">
        <f>IF(OR(E24=0,((E18/TAN(RADIANS(E21)))+E19)&lt;E18/TAN(RADIANS(E42))),"нет","есть")</f>
        <v>есть</v>
      </c>
      <c r="F63" s="122"/>
      <c r="G63" s="632"/>
      <c r="H63" s="44"/>
      <c r="I63" s="111"/>
      <c r="J63" s="112"/>
      <c r="K63" s="112"/>
      <c r="L63" s="112"/>
      <c r="M63" s="112"/>
      <c r="N63" s="112"/>
      <c r="O63" s="112"/>
      <c r="P63" s="112"/>
      <c r="Q63" s="113"/>
      <c r="R63" s="113"/>
      <c r="S63" s="122"/>
      <c r="T63" s="632"/>
      <c r="U63" s="44"/>
      <c r="V63" s="358"/>
      <c r="W63" s="358"/>
      <c r="X63" s="358"/>
      <c r="Y63" s="358"/>
      <c r="Z63" s="358"/>
      <c r="AA63" s="358"/>
      <c r="AB63" s="358"/>
      <c r="AC63" s="358"/>
      <c r="AD63" s="358"/>
      <c r="AE63" s="358"/>
      <c r="AF63" s="358"/>
      <c r="AG63" s="358"/>
      <c r="AH63" s="358"/>
      <c r="AI63" s="358"/>
      <c r="AJ63" s="122"/>
      <c r="AK63" s="123"/>
    </row>
    <row r="64" spans="1:37" x14ac:dyDescent="0.25">
      <c r="A64" s="17"/>
      <c r="B64" s="46">
        <v>10</v>
      </c>
      <c r="C64" s="43" t="s">
        <v>557</v>
      </c>
      <c r="D64" s="686" t="s">
        <v>56</v>
      </c>
      <c r="E64" s="54" t="str">
        <f>IF(E63="есть",IF((E18/TAN(RADIANS(E42))-E18/TAN(RADIANS(E21)))&lt;=0.7*E19,"есть","нет"),"нет")</f>
        <v>есть</v>
      </c>
      <c r="F64" s="122"/>
      <c r="G64" s="632"/>
      <c r="H64" s="44"/>
      <c r="I64" s="114"/>
      <c r="J64" s="115"/>
      <c r="K64" s="115"/>
      <c r="L64" s="115"/>
      <c r="M64" s="115"/>
      <c r="N64" s="142"/>
      <c r="O64" s="142"/>
      <c r="P64" s="142"/>
      <c r="Q64" s="142"/>
      <c r="R64" s="142"/>
      <c r="S64" s="122"/>
      <c r="T64" s="632"/>
      <c r="U64" s="44"/>
      <c r="V64" s="358"/>
      <c r="W64" s="358"/>
      <c r="X64" s="358"/>
      <c r="Y64" s="358"/>
      <c r="Z64" s="358"/>
      <c r="AA64" s="358"/>
      <c r="AB64" s="358"/>
      <c r="AC64" s="358"/>
      <c r="AD64" s="358"/>
      <c r="AE64" s="358"/>
      <c r="AF64" s="358"/>
      <c r="AG64" s="358"/>
      <c r="AH64" s="358"/>
      <c r="AI64" s="358"/>
      <c r="AJ64" s="122"/>
      <c r="AK64" s="123"/>
    </row>
    <row r="65" spans="1:37" ht="15.75" customHeight="1" thickBot="1" x14ac:dyDescent="0.3">
      <c r="A65" s="17"/>
      <c r="B65" s="478"/>
      <c r="C65" s="478"/>
      <c r="D65" s="478"/>
      <c r="E65" s="478"/>
      <c r="F65" s="122"/>
      <c r="G65" s="632"/>
      <c r="H65" s="44"/>
      <c r="I65" s="738" t="s">
        <v>153</v>
      </c>
      <c r="J65" s="114"/>
      <c r="K65" s="124" t="str">
        <f>IF(OR(ABS(K71) &gt; 5,ABS(K73) &gt; 5,ABS(K75) &gt; 5,ABS(K77) &gt; 5,ABS(K79) &gt; 5,IF(K80&lt;&gt;"-",ABS(K81)&gt;5,0),IF(K82&lt;&gt;"-",ABS(K83)&gt;5,0),IF(K84&lt;&gt;"-",ABS(K85)&gt;5,0),IF(K91&lt;&gt;"-",ABS(K92)&gt;10,0)),"","Норма")</f>
        <v>Норма</v>
      </c>
      <c r="L65" s="124" t="str">
        <f>IF(OR(ABS(L71) &gt; 5,ABS(L73) &gt; 5,ABS(L75) &gt; 5,ABS(L77) &gt; 5,ABS(L79) &gt; 5,IF(L80&lt;&gt;"-",ABS(L81)&gt;5,0),IF(L82&lt;&gt;"-",ABS(L83)&gt;5,0),IF(L84&lt;&gt;"-",ABS(L85)&gt;5,0),IF(L91&lt;&gt;"-",ABS(L92)&gt;10,0)),"","Норма")</f>
        <v>Норма</v>
      </c>
      <c r="M65" s="128" t="str">
        <f>IF(OR(ABS(M71) &gt; 5,ABS(M73) &gt; 5,ABS(M75) &gt; 5,ABS(M77) &gt; 5,ABS(M79) &gt; 5,IF(M80&lt;&gt;"-",ABS(M81)&gt;5,0),IF(M82&lt;&gt;"-",ABS(M83)&gt;5,0),IF(M84&lt;&gt;"-",ABS(M85)&gt;5,0),IF(M91&lt;&gt;"-",ABS(M92)&gt;10,0)),"","Норма")</f>
        <v>Норма</v>
      </c>
      <c r="N65" s="142"/>
      <c r="O65" s="142"/>
      <c r="P65" s="142"/>
      <c r="Q65" s="142"/>
      <c r="R65" s="142"/>
      <c r="S65" s="122"/>
      <c r="T65" s="632"/>
      <c r="U65" s="44"/>
      <c r="V65" s="678" t="s">
        <v>546</v>
      </c>
      <c r="W65" s="103"/>
      <c r="X65" s="102"/>
      <c r="Y65" s="102"/>
      <c r="Z65" s="102"/>
      <c r="AA65" s="102"/>
      <c r="AB65" s="358"/>
      <c r="AC65" s="682" t="s">
        <v>559</v>
      </c>
      <c r="AD65" s="683"/>
      <c r="AE65" s="64"/>
      <c r="AF65" s="358"/>
      <c r="AG65" s="358"/>
      <c r="AH65" s="358"/>
      <c r="AI65" s="358"/>
      <c r="AJ65" s="122"/>
      <c r="AK65" s="123"/>
    </row>
    <row r="66" spans="1:37" x14ac:dyDescent="0.25">
      <c r="A66" s="17"/>
      <c r="B66" s="479"/>
      <c r="C66" s="479"/>
      <c r="D66" s="479"/>
      <c r="E66" s="479"/>
      <c r="F66" s="122"/>
      <c r="G66" s="632"/>
      <c r="H66" s="44"/>
      <c r="I66" s="738"/>
      <c r="J66" s="125"/>
      <c r="K66" s="139" t="str">
        <f>IF(K65="Норма","","Погрешность")</f>
        <v/>
      </c>
      <c r="L66" s="140" t="str">
        <f>IF(L65="Норма","","Погрешность")</f>
        <v/>
      </c>
      <c r="M66" s="138" t="str">
        <f>IF(M65="Норма","","Погрешность")</f>
        <v/>
      </c>
      <c r="N66" s="142"/>
      <c r="O66" s="142"/>
      <c r="P66" s="142"/>
      <c r="Q66" s="142"/>
      <c r="R66" s="142"/>
      <c r="S66" s="122"/>
      <c r="T66" s="632"/>
      <c r="U66" s="44"/>
      <c r="V66" s="44" t="s">
        <v>194</v>
      </c>
      <c r="W66" s="97">
        <f>(W67/TAN(RADIANS(X35)))-X34</f>
        <v>-3.974749821418484</v>
      </c>
      <c r="X66" s="97">
        <f>(X67/TAN(RADIANS(X35)))-X34</f>
        <v>-0.62581355886320589</v>
      </c>
      <c r="Y66" s="97">
        <f>(Y67/TAN(RADIANS(X35)))+X34</f>
        <v>3.974749821418484</v>
      </c>
      <c r="Z66" s="97">
        <f>(Z67/TAN(RADIANS(X35)))+X34</f>
        <v>0.62581355886320589</v>
      </c>
      <c r="AA66" s="97">
        <f>W66</f>
        <v>-3.974749821418484</v>
      </c>
      <c r="AB66" s="358"/>
      <c r="AC66" s="685" t="s">
        <v>560</v>
      </c>
      <c r="AD66" s="685" t="str">
        <f>CONCATENATE("Уставки РС:",CHAR(10),"   - ",D18," = ",E18," Ом,",CHAR(10),"   - ",D19," = ",E19," Ом,",CHAR(10),"   - ",D21," = ",E21,CHAR(176),",",CHAR(10),"   - ",D22," = ",E22,CHAR(176),",",CHAR(10),"   - ",D23," = ",E23,CHAR(176),",",CHAR(10),"   - ",D24," = ",E24,CHAR(176),",",CHAR(10),"   - ",D26," = ",E26," Ом,",CHAR(10),"   - ",D27," = ",E27,CHAR(176),",",CHAR(10),"   - ",D60," = ",ROUND(E60,3),",",CHAR(10),"   - ",D61," = ",ROUND(E61,3),".")</f>
        <v>Уставки РС:
   - Xуст = 4 Ом,
   - Rуст = 2 Ом,
   - fi_1 = 70°,
   - fi_2 = -20°,
   - fi_3 = 115°,
   - fi_4 = -12°,
   - Rнагр = 1,2 Ом,
   - fi_нагр = 10°,
   - Kr = 0,15,
   - Kx = 0,578.</v>
      </c>
      <c r="AE66" s="64" t="s">
        <v>56</v>
      </c>
      <c r="AF66" s="358"/>
      <c r="AG66" s="358"/>
      <c r="AH66" s="358"/>
      <c r="AI66" s="358"/>
      <c r="AJ66" s="122"/>
      <c r="AK66" s="123"/>
    </row>
    <row r="67" spans="1:37" ht="16.5" customHeight="1" thickBot="1" x14ac:dyDescent="0.3">
      <c r="A67" s="17"/>
      <c r="B67" s="64"/>
      <c r="C67" s="64"/>
      <c r="D67" s="64"/>
      <c r="E67" s="64"/>
      <c r="F67" s="122"/>
      <c r="G67" s="632"/>
      <c r="H67" s="44"/>
      <c r="I67" s="17"/>
      <c r="J67" s="17"/>
      <c r="K67" s="17"/>
      <c r="L67" s="43"/>
      <c r="M67" s="43"/>
      <c r="N67" s="143"/>
      <c r="O67" s="143"/>
      <c r="P67" s="143"/>
      <c r="Q67" s="143"/>
      <c r="R67" s="143"/>
      <c r="S67" s="122"/>
      <c r="T67" s="632"/>
      <c r="U67" s="44"/>
      <c r="V67" s="44" t="s">
        <v>195</v>
      </c>
      <c r="W67" s="97">
        <f>-1*X33</f>
        <v>-6.3116666666666665</v>
      </c>
      <c r="X67" s="97">
        <f>X33</f>
        <v>6.3116666666666665</v>
      </c>
      <c r="Y67" s="97">
        <f>X33</f>
        <v>6.3116666666666665</v>
      </c>
      <c r="Z67" s="97">
        <f>-1*X33</f>
        <v>-6.3116666666666665</v>
      </c>
      <c r="AA67" s="97">
        <f>W67</f>
        <v>-6.3116666666666665</v>
      </c>
      <c r="AB67" s="358"/>
      <c r="AC67" s="685" t="s">
        <v>561</v>
      </c>
      <c r="AD67" s="685" t="str">
        <f>CONCATENATE("Характеристика РС",CHAR(10),"при КЗ на землю.",CHAR(10),CHAR(10),AD66)</f>
        <v>Характеристика РС
при КЗ на землю.
Уставки РС:
   - Xуст = 4 Ом,
   - Rуст = 2 Ом,
   - fi_1 = 70°,
   - fi_2 = -20°,
   - fi_3 = 115°,
   - fi_4 = -12°,
   - Rнагр = 1,2 Ом,
   - fi_нагр = 10°,
   - Kr = 0,15,
   - Kx = 0,578.</v>
      </c>
      <c r="AE67" s="64" t="s">
        <v>56</v>
      </c>
      <c r="AF67" s="358"/>
      <c r="AG67" s="358"/>
      <c r="AH67" s="358"/>
      <c r="AI67" s="358"/>
      <c r="AJ67" s="122"/>
      <c r="AK67" s="123"/>
    </row>
    <row r="68" spans="1:37" x14ac:dyDescent="0.25">
      <c r="A68" s="17"/>
      <c r="B68" s="64"/>
      <c r="C68" s="64"/>
      <c r="D68" s="64"/>
      <c r="E68" s="64"/>
      <c r="F68" s="122"/>
      <c r="G68" s="632"/>
      <c r="H68" s="44"/>
      <c r="I68" s="721" t="s">
        <v>0</v>
      </c>
      <c r="J68" s="739"/>
      <c r="K68" s="737" t="s">
        <v>124</v>
      </c>
      <c r="L68" s="725"/>
      <c r="M68" s="726"/>
      <c r="N68" s="78"/>
      <c r="O68" s="116" t="s">
        <v>154</v>
      </c>
      <c r="P68" s="78"/>
      <c r="Q68" s="18"/>
      <c r="R68" s="143"/>
      <c r="S68" s="122"/>
      <c r="T68" s="632"/>
      <c r="U68" s="44"/>
      <c r="V68" s="64"/>
      <c r="W68" s="103"/>
      <c r="X68" s="102"/>
      <c r="Y68" s="102"/>
      <c r="Z68" s="102"/>
      <c r="AA68" s="102"/>
      <c r="AB68" s="358"/>
      <c r="AC68" s="685" t="s">
        <v>562</v>
      </c>
      <c r="AD68" s="685" t="str">
        <f>CONCATENATE("Характеристики уставок",CHAR(10),"рабочей области РС.",CHAR(10),CHAR(10),AD66)</f>
        <v>Характеристики уставок
рабочей области РС.
Уставки РС:
   - Xуст = 4 Ом,
   - Rуст = 2 Ом,
   - fi_1 = 70°,
   - fi_2 = -20°,
   - fi_3 = 115°,
   - fi_4 = -12°,
   - Rнагр = 1,2 Ом,
   - fi_нагр = 10°,
   - Kr = 0,15,
   - Kx = 0,578.</v>
      </c>
      <c r="AE68" s="64" t="s">
        <v>56</v>
      </c>
      <c r="AF68" s="358"/>
      <c r="AG68" s="358"/>
      <c r="AH68" s="358"/>
      <c r="AI68" s="358"/>
      <c r="AJ68" s="122"/>
      <c r="AK68" s="123"/>
    </row>
    <row r="69" spans="1:37" ht="15.75" customHeight="1" thickBot="1" x14ac:dyDescent="0.3">
      <c r="A69" s="17"/>
      <c r="B69" s="64"/>
      <c r="C69" s="64"/>
      <c r="D69" s="64"/>
      <c r="E69" s="64"/>
      <c r="F69" s="122"/>
      <c r="G69" s="632"/>
      <c r="H69" s="44"/>
      <c r="I69" s="740"/>
      <c r="J69" s="741"/>
      <c r="K69" s="338" t="s">
        <v>206</v>
      </c>
      <c r="L69" s="338" t="s">
        <v>207</v>
      </c>
      <c r="M69" s="339" t="s">
        <v>208</v>
      </c>
      <c r="N69" s="144"/>
      <c r="O69" s="116" t="s">
        <v>155</v>
      </c>
      <c r="P69" s="144"/>
      <c r="Q69" s="18"/>
      <c r="R69" s="143"/>
      <c r="S69" s="122"/>
      <c r="T69" s="632"/>
      <c r="U69" s="44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358"/>
      <c r="AH69" s="358"/>
      <c r="AI69" s="358"/>
      <c r="AJ69" s="122"/>
      <c r="AK69" s="123"/>
    </row>
    <row r="70" spans="1:37" x14ac:dyDescent="0.25">
      <c r="A70" s="17"/>
      <c r="B70" s="64"/>
      <c r="C70" s="64"/>
      <c r="D70" s="64"/>
      <c r="E70" s="64"/>
      <c r="F70" s="122"/>
      <c r="G70" s="632"/>
      <c r="H70" s="44"/>
      <c r="I70" s="753" t="s">
        <v>47</v>
      </c>
      <c r="J70" s="754"/>
      <c r="K70" s="340">
        <f>IF(OR(P42="",P42=0),(N42*(POWER(E49,2-E53))*TAN(RADIANS(L42))/SQRT(1+POWER(TAN(RADIANS(L42)),2))/(E49+E49*E61)),(P42*(POWER(E49,2-E53))*TAN(RADIANS(L42))/SQRT(1+POWER(TAN(RADIANS(L42)),2))/(E49+E49*E61)))</f>
        <v>4</v>
      </c>
      <c r="L70" s="340">
        <f>IF(OR(Q42="",Q42=0),(N42*(POWER(E49,2-E53))*TAN(RADIANS(L42))/SQRT(1+POWER(TAN(RADIANS(L42)),2))/(E49+E49*E61)),(Q42*(POWER(E49,2-E53))*TAN(RADIANS(L42))/SQRT(1+POWER(TAN(RADIANS(L42)),2))/(E49+E49*E61)))</f>
        <v>4</v>
      </c>
      <c r="M70" s="341">
        <f>IF(OR(R42="",R42=0),(N42*(POWER(E49,2-E53))*TAN(RADIANS(L42))/SQRT(1+POWER(TAN(RADIANS(L42)),2))/(E49+E49*E61)),(R42*(POWER(E49,2-E53))*TAN(RADIANS(L42))/SQRT(1+POWER(TAN(RADIANS(L42)),2))/(E49+E49*E61)))</f>
        <v>4</v>
      </c>
      <c r="N70" s="173"/>
      <c r="O70" s="116" t="s">
        <v>156</v>
      </c>
      <c r="P70" s="53"/>
      <c r="Q70" s="53"/>
      <c r="R70" s="143"/>
      <c r="S70" s="122"/>
      <c r="T70" s="632"/>
      <c r="U70" s="44"/>
      <c r="V70" s="64" t="s">
        <v>569</v>
      </c>
      <c r="W70" s="64"/>
      <c r="X70" s="64"/>
      <c r="Y70" s="64"/>
      <c r="Z70" s="64" t="s">
        <v>547</v>
      </c>
      <c r="AA70" s="103"/>
      <c r="AB70" s="102"/>
      <c r="AC70" s="358"/>
      <c r="AD70" s="64" t="s">
        <v>548</v>
      </c>
      <c r="AE70" s="103"/>
      <c r="AF70" s="102"/>
      <c r="AG70" s="358"/>
      <c r="AH70" s="358"/>
      <c r="AI70" s="358"/>
      <c r="AJ70" s="122"/>
      <c r="AK70" s="123"/>
    </row>
    <row r="71" spans="1:37" x14ac:dyDescent="0.25">
      <c r="A71" s="17"/>
      <c r="B71" s="64"/>
      <c r="C71" s="64"/>
      <c r="D71" s="64"/>
      <c r="E71" s="64"/>
      <c r="F71" s="122"/>
      <c r="G71" s="632"/>
      <c r="H71" s="44"/>
      <c r="I71" s="755" t="s">
        <v>54</v>
      </c>
      <c r="J71" s="756"/>
      <c r="K71" s="584">
        <f>(K70-E18)*100/E18</f>
        <v>0</v>
      </c>
      <c r="L71" s="584">
        <f>(L70-E18)*100/E18</f>
        <v>0</v>
      </c>
      <c r="M71" s="585">
        <f>(M70-E18)*100/E18</f>
        <v>0</v>
      </c>
      <c r="N71" s="172" t="str">
        <f>IF(OR(IF(ISNUMBER(K71),IF(ABS(K71)&gt;5,1,0),0),IF(ISNUMBER(L71),IF(ABS(L71)&gt;5,1,0),0),IF(ISNUMBER(M71),IF(ABS(M71)&gt;5,1,0),0)),"&lt;= Err","")</f>
        <v/>
      </c>
      <c r="O71" s="143"/>
      <c r="P71" s="53"/>
      <c r="Q71" s="53"/>
      <c r="R71" s="143"/>
      <c r="S71" s="122"/>
      <c r="T71" s="632"/>
      <c r="U71" s="44"/>
      <c r="V71" s="44" t="s">
        <v>194</v>
      </c>
      <c r="W71" s="97">
        <f>W72/TAN(RADIANS(X35))</f>
        <v>-1.674468131277639</v>
      </c>
      <c r="X71" s="97">
        <f>X72/TAN(RADIANS(X35))</f>
        <v>1.674468131277639</v>
      </c>
      <c r="Y71" s="64"/>
      <c r="Z71" s="44" t="s">
        <v>194</v>
      </c>
      <c r="AA71" s="97">
        <f>0*X34</f>
        <v>0</v>
      </c>
      <c r="AB71" s="97">
        <f>ROUNDUP(1.1*(X33/TAN(RADIANS(X35))+X34),1)</f>
        <v>4.3999999999999995</v>
      </c>
      <c r="AC71" s="358"/>
      <c r="AD71" s="44" t="s">
        <v>194</v>
      </c>
      <c r="AE71" s="97">
        <f>AE72/TAN(RADIANS(X37))</f>
        <v>0</v>
      </c>
      <c r="AF71" s="97">
        <f>AF72/TAN(RADIANS(X37))</f>
        <v>-2.3792361582840647</v>
      </c>
      <c r="AG71" s="358"/>
      <c r="AH71" s="358"/>
      <c r="AI71" s="358"/>
      <c r="AJ71" s="122"/>
      <c r="AK71" s="123"/>
    </row>
    <row r="72" spans="1:37" x14ac:dyDescent="0.25">
      <c r="A72" s="17"/>
      <c r="B72" s="64"/>
      <c r="C72" s="64"/>
      <c r="D72" s="64"/>
      <c r="E72" s="64"/>
      <c r="F72" s="122"/>
      <c r="G72" s="632"/>
      <c r="H72" s="44"/>
      <c r="I72" s="747" t="s">
        <v>46</v>
      </c>
      <c r="J72" s="748"/>
      <c r="K72" s="342">
        <f>IF(OR(P43="",P43=0,P44="",P44=0),(N43*(POWER(E49,2-E53))/SQRT(1+POWER(TAN(RADIANS(L43)),2))/(E49+E49*E60))-(N43*(POWER(E49,2-E53))*TAN(RADIANS(L43))/SQRT(1+POWER(TAN(RADIANS(L43)),2))/(E49+E49*E61))*((K44*(POWER(E49,2-E53))/SQRT(1+POWER(TAN(RADIANS(N44)),2))/(E49+E49*E60))-(N43*(POWER(E49,2-E53))/SQRT(1+POWER(TAN(RADIANS(L43)),2))/(E49+E49*E60)))/((K44*(POWER(E49,2-E53))*TAN(RADIANS(N44))/SQRT(1+POWER(TAN(RADIANS(N44)),2))/(E49+E49*E61))-(N43*(POWER(E49,2-E53))*TAN(RADIANS(L43))/SQRT(1+POWER(TAN(RADIANS(L43)),2))/(E49+E49*E61))),(P43*(POWER(E49,2-E53))/SQRT(1+POWER(TAN(RADIANS(L43)),2))/(E49+E49*E60))-(P43*(POWER(E49,2-E53))*TAN(RADIANS(L43))/SQRT(1+POWER(TAN(RADIANS(L43)),2))/(E49+E49*E61))*((K44*(POWER(E49,2-E53))/SQRT(1+POWER(TAN(RADIANS(P44)),2))/(E49+E49*E60))-(P43*(POWER(E49,2-E53))/SQRT(1+POWER(TAN(RADIANS(L43)),2))/(E49+E49*E60)))/((K44*(POWER(E49,2-E53))*TAN(RADIANS(P44))/SQRT(1+POWER(TAN(RADIANS(P44)),2))/(E49+E49*E61))-(P43*(POWER(E49,2-E53))*TAN(RADIANS(L43))/SQRT(1+POWER(TAN(RADIANS(L43)),2))/(E49+E49*E61))))</f>
        <v>1.9999999999999996</v>
      </c>
      <c r="L72" s="342">
        <f>IF(OR(Q43="",Q43=0,Q44="",Q44=0),(N43*(POWER(E49,2-E53))/SQRT(1+POWER(TAN(RADIANS(L43)),2))/(E49+E49*E60))-(N43*(POWER(E49,2-E53))*TAN(RADIANS(L43))/SQRT(1+POWER(TAN(RADIANS(L43)),2))/(E49+E49*E61))*((K44*(POWER(E49,2-E53))/SQRT(1+POWER(TAN(RADIANS(N44)),2))/(E49+E49*E60))-(N43*(POWER(E49,2-E53))/SQRT(1+POWER(TAN(RADIANS(L43)),2))/(E49+E49*E60)))/((K44*(POWER(E49,2-E53))*TAN(RADIANS(N44))/SQRT(1+POWER(TAN(RADIANS(N44)),2))/(E49+E49*E61))-(N43*(POWER(E49,2-E53))*TAN(RADIANS(L43))/SQRT(1+POWER(TAN(RADIANS(L43)),2))/(E49+E49*E61))),(Q43*(POWER(E49,2-E53))/SQRT(1+POWER(TAN(RADIANS(L43)),2))/(E49+E49*E60))-(Q43*(POWER(E49,2-E53))*TAN(RADIANS(L43))/SQRT(1+POWER(TAN(RADIANS(L43)),2))/(E49+E49*E61))*((K44*(POWER(E49,2-E53))/SQRT(1+POWER(TAN(RADIANS(Q44)),2))/(E49+E49*E60))-(Q43*(POWER(E49,2-E53))/SQRT(1+POWER(TAN(RADIANS(L43)),2))/(E49+E49*E60)))/((K44*(POWER(E49,2-E53))*TAN(RADIANS(Q44))/SQRT(1+POWER(TAN(RADIANS(Q44)),2))/(E49+E49*E61))-(Q43*(POWER(E49,2-E53))*TAN(RADIANS(L43))/SQRT(1+POWER(TAN(RADIANS(L43)),2))/(E49+E49*E61))))</f>
        <v>1.9999999999999996</v>
      </c>
      <c r="M72" s="343">
        <f>IF(OR(R43="",R43=0,R44="",R44=0),(N43*(POWER(E49,2-E53))/SQRT(1+POWER(TAN(RADIANS(L43)),2))/(E49+E49*E60))-(N43*(POWER(E49,2-E53))*TAN(RADIANS(L43))/SQRT(1+POWER(TAN(RADIANS(L43)),2))/(E49+E49*E61))*((K44*(POWER(E49,2-E53))/SQRT(1+POWER(TAN(RADIANS(N44)),2))/(E49+E49*E60))-(N43*(POWER(E49,2-E53))/SQRT(1+POWER(TAN(RADIANS(L43)),2))/(E49+E49*E60)))/((K44*(POWER(E49,2-E53))*TAN(RADIANS(N44))/SQRT(1+POWER(TAN(RADIANS(N44)),2))/(E49+E49*E61))-(N43*(POWER(E49,2-E53))*TAN(RADIANS(L43))/SQRT(1+POWER(TAN(RADIANS(L43)),2))/(E49+E49*E61))),(R43*(POWER(E49,2-E53))/SQRT(1+POWER(TAN(RADIANS(L43)),2))/(E49+E49*E60))-(R43*(POWER(E49,2-E53))*TAN(RADIANS(L43))/SQRT(1+POWER(TAN(RADIANS(L43)),2))/(E49+E49*E61))*((K44*(POWER(E49,2-E53))/SQRT(1+POWER(TAN(RADIANS(R44)),2))/(E49+E49*E60))-(R43*(POWER(E49,2-E53))/SQRT(1+POWER(TAN(RADIANS(L43)),2))/(E49+E49*E60)))/((K44*(POWER(E49,2-E53))*TAN(RADIANS(R44))/SQRT(1+POWER(TAN(RADIANS(R44)),2))/(E49+E49*E61))-(R43*(POWER(E49,2-E53))*TAN(RADIANS(L43))/SQRT(1+POWER(TAN(RADIANS(L43)),2))/(E49+E49*E61))))</f>
        <v>1.9999999999999996</v>
      </c>
      <c r="N72" s="173"/>
      <c r="O72" s="143"/>
      <c r="P72" s="53"/>
      <c r="Q72" s="53"/>
      <c r="R72" s="143"/>
      <c r="S72" s="122"/>
      <c r="T72" s="632"/>
      <c r="U72" s="44"/>
      <c r="V72" s="44" t="s">
        <v>195</v>
      </c>
      <c r="W72" s="97">
        <f>-1*X33</f>
        <v>-6.3116666666666665</v>
      </c>
      <c r="X72" s="97">
        <f>X33</f>
        <v>6.3116666666666665</v>
      </c>
      <c r="Y72" s="64"/>
      <c r="Z72" s="44" t="s">
        <v>195</v>
      </c>
      <c r="AA72" s="97">
        <f>AA71*TAN(RADIANS(X36))</f>
        <v>0</v>
      </c>
      <c r="AB72" s="97">
        <f>AB71*TAN(RADIANS(X36))</f>
        <v>-2.1971088894332818</v>
      </c>
      <c r="AC72" s="358"/>
      <c r="AD72" s="44" t="s">
        <v>195</v>
      </c>
      <c r="AE72" s="97">
        <f>0*X33</f>
        <v>0</v>
      </c>
      <c r="AF72" s="97">
        <f>ROUNDUP(1.1*X33,1)</f>
        <v>7</v>
      </c>
      <c r="AG72" s="358"/>
      <c r="AH72" s="358"/>
      <c r="AI72" s="358"/>
      <c r="AJ72" s="122"/>
      <c r="AK72" s="123"/>
    </row>
    <row r="73" spans="1:37" x14ac:dyDescent="0.25">
      <c r="A73" s="17"/>
      <c r="B73" s="64"/>
      <c r="C73" s="64"/>
      <c r="D73" s="64"/>
      <c r="E73" s="64"/>
      <c r="F73" s="122"/>
      <c r="G73" s="632"/>
      <c r="H73" s="44"/>
      <c r="I73" s="755" t="s">
        <v>55</v>
      </c>
      <c r="J73" s="756"/>
      <c r="K73" s="584">
        <f>(K72-E19)*100/E19</f>
        <v>-2.2204460492503131E-14</v>
      </c>
      <c r="L73" s="584">
        <f>(L72-E19)*100/E19</f>
        <v>-2.2204460492503131E-14</v>
      </c>
      <c r="M73" s="585">
        <f>(M72-E19)*100/E19</f>
        <v>-2.2204460492503131E-14</v>
      </c>
      <c r="N73" s="172" t="str">
        <f>IF(OR(IF(ISNUMBER(K73),IF(ABS(K73)&gt;5,1,0),0),IF(ISNUMBER(L73),IF(ABS(L73)&gt;5,1,0),0),IF(ISNUMBER(M73),IF(ABS(M73)&gt;5,1,0),0)),"&lt;= Err","")</f>
        <v/>
      </c>
      <c r="O73" s="143"/>
      <c r="P73" s="143"/>
      <c r="Q73" s="143"/>
      <c r="R73" s="143"/>
      <c r="S73" s="122"/>
      <c r="T73" s="632"/>
      <c r="U73" s="44"/>
      <c r="V73" s="64"/>
      <c r="W73" s="64"/>
      <c r="X73" s="64"/>
      <c r="Y73" s="64"/>
      <c r="Z73" s="64"/>
      <c r="AA73" s="102"/>
      <c r="AB73" s="358"/>
      <c r="AC73" s="358"/>
      <c r="AD73" s="358"/>
      <c r="AE73" s="358"/>
      <c r="AF73" s="358"/>
      <c r="AG73" s="358"/>
      <c r="AH73" s="358"/>
      <c r="AI73" s="358"/>
      <c r="AJ73" s="122"/>
      <c r="AK73" s="123"/>
    </row>
    <row r="74" spans="1:37" x14ac:dyDescent="0.25">
      <c r="A74" s="17"/>
      <c r="B74" s="64"/>
      <c r="C74" s="64"/>
      <c r="D74" s="64"/>
      <c r="E74" s="64"/>
      <c r="F74" s="122"/>
      <c r="G74" s="632"/>
      <c r="H74" s="44"/>
      <c r="I74" s="747" t="s">
        <v>458</v>
      </c>
      <c r="J74" s="748"/>
      <c r="K74" s="344">
        <f>IF(OR(P43="",P43=0,P44="",P44=0),DEGREES(ATAN((K44*(POWER(E49,2-E53))*TAN(RADIANS(N44))/SQRT(1+POWER(TAN(RADIANS(N44)),2))/(E49+E49*E61))/((K44*(POWER(E49,2-E53))/SQRT(1+POWER(TAN(RADIANS(N44)),2))/(E49+E49*E60))-K72))),DEGREES(ATAN((K44*(POWER(E49,2-E53))*TAN(RADIANS(P44))/SQRT(1+POWER(TAN(RADIANS(P44)),2))/(E49+E49*E61))/((K44*(POWER(E49,2-E53))/SQRT(1+POWER(TAN(RADIANS(P44)),2))/(E49+E49*E60))-K72))))</f>
        <v>69.999999999999986</v>
      </c>
      <c r="L74" s="344">
        <f>IF(OR(Q43="",Q43=0,Q44="",Q44=0),DEGREES(ATAN((K44*(POWER(E49,2-E53))*TAN(RADIANS(N44))/SQRT(1+POWER(TAN(RADIANS(N44)),2))/(E49+E49*E61))/((K44*(POWER(E49,2-E53))/SQRT(1+POWER(TAN(RADIANS(N44)),2))/(E49+E49*E60))-L72))),DEGREES(ATAN((K44*(POWER(E49,2-E53))*TAN(RADIANS(Q44))/SQRT(1+POWER(TAN(RADIANS(Q44)),2))/(E49+E49*E61))/((K44*(POWER(E49,2-E53))/SQRT(1+POWER(TAN(RADIANS(Q44)),2))/(E49+E49*E60))-L72))))</f>
        <v>69.999999999999986</v>
      </c>
      <c r="M74" s="345">
        <f>IF(OR(R43="",R43=0,R44="",R44=0),DEGREES(ATAN((K44*(POWER(E49,2-E53))*TAN(RADIANS(N44))/SQRT(1+POWER(TAN(RADIANS(N44)),2))/(E49+E49*E61))/((K44*(POWER(E49,2-E53))/SQRT(1+POWER(TAN(RADIANS(N44)),2))/(E49+E49*E60))-M72))),DEGREES(ATAN((K44*(POWER(E49,2-E53))*TAN(RADIANS(R44))/SQRT(1+POWER(TAN(RADIANS(R44)),2))/(E49+E49*E61))/((K44*(POWER(E49,2-E53))/SQRT(1+POWER(TAN(RADIANS(R44)),2))/(E49+E49*E60))-M72))))</f>
        <v>69.999999999999986</v>
      </c>
      <c r="N74" s="172"/>
      <c r="O74" s="143"/>
      <c r="P74" s="143"/>
      <c r="Q74" s="143"/>
      <c r="R74" s="143"/>
      <c r="S74" s="122"/>
      <c r="T74" s="632"/>
      <c r="U74" s="44"/>
      <c r="V74" s="64" t="s">
        <v>549</v>
      </c>
      <c r="W74" s="103"/>
      <c r="X74" s="102"/>
      <c r="Y74" s="102"/>
      <c r="Z74" s="102"/>
      <c r="AA74" s="102"/>
      <c r="AB74" s="358"/>
      <c r="AC74" s="358"/>
      <c r="AD74" s="358"/>
      <c r="AE74" s="358"/>
      <c r="AF74" s="358"/>
      <c r="AG74" s="358"/>
      <c r="AH74" s="358"/>
      <c r="AI74" s="358"/>
      <c r="AJ74" s="122"/>
      <c r="AK74" s="123"/>
    </row>
    <row r="75" spans="1:37" x14ac:dyDescent="0.25">
      <c r="A75" s="17"/>
      <c r="B75" s="64"/>
      <c r="C75" s="64"/>
      <c r="D75" s="64"/>
      <c r="E75" s="64"/>
      <c r="F75" s="122"/>
      <c r="G75" s="632"/>
      <c r="H75" s="44"/>
      <c r="I75" s="755" t="s">
        <v>461</v>
      </c>
      <c r="J75" s="756"/>
      <c r="K75" s="584">
        <f>K74-E21</f>
        <v>0</v>
      </c>
      <c r="L75" s="584">
        <f>L74-E21</f>
        <v>0</v>
      </c>
      <c r="M75" s="585">
        <f>M74-E21</f>
        <v>0</v>
      </c>
      <c r="N75" s="172" t="str">
        <f>IF(OR(IF(ISNUMBER(K75),IF(ABS(K75)&gt;5,1,0),0),IF(ISNUMBER(L75),IF(ABS(L75)&gt;5,1,0),0),IF(ISNUMBER(M75),IF(ABS(M75)&gt;5,1,0),0)),"&lt;= Err","")</f>
        <v/>
      </c>
      <c r="O75" s="143"/>
      <c r="P75" s="143"/>
      <c r="Q75" s="143"/>
      <c r="R75" s="143"/>
      <c r="S75" s="122"/>
      <c r="T75" s="632"/>
      <c r="U75" s="44"/>
      <c r="V75" s="44" t="s">
        <v>194</v>
      </c>
      <c r="W75" s="97">
        <f>AB35+X34</f>
        <v>3.6804507042253518</v>
      </c>
      <c r="X75" s="97">
        <f>AB35</f>
        <v>1.3801690140845069</v>
      </c>
      <c r="Y75" s="97">
        <f>AB35</f>
        <v>1.3801690140845069</v>
      </c>
      <c r="Z75" s="97">
        <f>AB35+X34</f>
        <v>3.6804507042253518</v>
      </c>
      <c r="AA75" s="102"/>
      <c r="AB75" s="358"/>
      <c r="AC75" s="358"/>
      <c r="AD75" s="358"/>
      <c r="AE75" s="358"/>
      <c r="AF75" s="358"/>
      <c r="AG75" s="358"/>
      <c r="AH75" s="358"/>
      <c r="AI75" s="358"/>
      <c r="AJ75" s="122"/>
      <c r="AK75" s="123"/>
    </row>
    <row r="76" spans="1:37" x14ac:dyDescent="0.25">
      <c r="A76" s="17"/>
      <c r="B76" s="64"/>
      <c r="C76" s="64"/>
      <c r="D76" s="64"/>
      <c r="E76" s="64"/>
      <c r="F76" s="122"/>
      <c r="G76" s="632"/>
      <c r="H76" s="44"/>
      <c r="I76" s="747" t="s">
        <v>459</v>
      </c>
      <c r="J76" s="748"/>
      <c r="K76" s="344">
        <f>IF(OR(P45="",P45=0),DEGREES(ATAN(TAN(RADIANS(N45))*(1+E60)/(1+E61))),DEGREES(ATAN(TAN(RADIANS(P45))*(1+E60)/(1+E61))))</f>
        <v>-20.000000000000018</v>
      </c>
      <c r="L76" s="344">
        <f>IF(OR(Q45="",Q45=0),DEGREES(ATAN(TAN(RADIANS(N45))*(1+E60)/(1+E61))),DEGREES(ATAN(TAN(RADIANS(Q45))*(1+E60)/(1+E61))))</f>
        <v>-20.000000000000018</v>
      </c>
      <c r="M76" s="345">
        <f>IF(OR(R45="",R45=0),DEGREES(ATAN(TAN(RADIANS(N45))*(1+E60)/(1+E61))),DEGREES(ATAN(TAN(RADIANS(R45))*(1+E60)/(1+E61))))</f>
        <v>-20.000000000000018</v>
      </c>
      <c r="N76" s="172"/>
      <c r="O76" s="143"/>
      <c r="P76" s="143"/>
      <c r="Q76" s="143"/>
      <c r="R76" s="143"/>
      <c r="S76" s="122"/>
      <c r="T76" s="632"/>
      <c r="U76" s="44"/>
      <c r="V76" s="44" t="s">
        <v>195</v>
      </c>
      <c r="W76" s="97">
        <f>W75*TAN(RADIANS(AB38))</f>
        <v>0.89033370125727573</v>
      </c>
      <c r="X76" s="97">
        <f>X75*TAN(RADIANS(AB38))</f>
        <v>0.33387513797147839</v>
      </c>
      <c r="Y76" s="97">
        <f>Y75*TAN(RADIANS(AB37))</f>
        <v>-0.33387513797147839</v>
      </c>
      <c r="Z76" s="97">
        <f>Z75*TAN(RADIANS(AB37))</f>
        <v>-0.89033370125727573</v>
      </c>
      <c r="AA76" s="102"/>
      <c r="AB76" s="358"/>
      <c r="AC76" s="358"/>
      <c r="AD76" s="358"/>
      <c r="AE76" s="358"/>
      <c r="AF76" s="358"/>
      <c r="AG76" s="358"/>
      <c r="AH76" s="358"/>
      <c r="AI76" s="358"/>
      <c r="AJ76" s="122"/>
      <c r="AK76" s="123"/>
    </row>
    <row r="77" spans="1:37" x14ac:dyDescent="0.25">
      <c r="A77" s="17"/>
      <c r="B77" s="64"/>
      <c r="C77" s="64"/>
      <c r="D77" s="64"/>
      <c r="E77" s="64"/>
      <c r="F77" s="122"/>
      <c r="G77" s="632"/>
      <c r="H77" s="44"/>
      <c r="I77" s="755" t="s">
        <v>462</v>
      </c>
      <c r="J77" s="756"/>
      <c r="K77" s="584">
        <f>(K76-E22)*(-1)</f>
        <v>1.7763568394002505E-14</v>
      </c>
      <c r="L77" s="584">
        <f>(L76-E22)*(-1)</f>
        <v>1.7763568394002505E-14</v>
      </c>
      <c r="M77" s="585">
        <f>(M76-E22)*(-1)</f>
        <v>1.7763568394002505E-14</v>
      </c>
      <c r="N77" s="172" t="str">
        <f>IF(OR(IF(ISNUMBER(K77),IF(ABS(K77)&gt;5,1,0),0),IF(ISNUMBER(L77),IF(ABS(L77)&gt;5,1,0),0),IF(ISNUMBER(M77),IF(ABS(M77)&gt;5,1,0),0)),"&lt;= Err","")</f>
        <v/>
      </c>
      <c r="O77" s="143"/>
      <c r="P77" s="143"/>
      <c r="Q77" s="143"/>
      <c r="R77" s="143"/>
      <c r="S77" s="122"/>
      <c r="T77" s="632"/>
      <c r="U77" s="44"/>
      <c r="V77" s="17"/>
      <c r="W77" s="17"/>
      <c r="X77" s="17"/>
      <c r="Y77" s="17"/>
      <c r="Z77" s="17"/>
      <c r="AA77" s="102"/>
      <c r="AB77" s="358"/>
      <c r="AC77" s="358"/>
      <c r="AD77" s="358"/>
      <c r="AE77" s="358"/>
      <c r="AF77" s="358"/>
      <c r="AG77" s="358"/>
      <c r="AH77" s="358"/>
      <c r="AI77" s="358"/>
      <c r="AJ77" s="122"/>
      <c r="AK77" s="123"/>
    </row>
    <row r="78" spans="1:37" x14ac:dyDescent="0.25">
      <c r="A78" s="17"/>
      <c r="B78" s="64"/>
      <c r="C78" s="83"/>
      <c r="D78" s="83"/>
      <c r="E78" s="83"/>
      <c r="F78" s="122"/>
      <c r="G78" s="632"/>
      <c r="H78" s="44"/>
      <c r="I78" s="747" t="s">
        <v>460</v>
      </c>
      <c r="J78" s="748"/>
      <c r="K78" s="344">
        <f>IF(OR(P46="",P46=0),180+DEGREES(ATAN((K46*(POWER(E49,2-E53))*TAN(RADIANS(N46))/SQRT(1+POWER(TAN(RADIANS(N46)),2))/(E49+E49*E61))/(K46*(POWER(E49,2-E53))/SQRT(1+POWER(TAN(RADIANS(N46)),2))/(E49+E49*E60)))),180+DEGREES(ATAN((K46*(POWER(E49,2-E53))*TAN(RADIANS(P46))/SQRT(1+POWER(TAN(RADIANS(P46)),2))/(E49+E49*E61))/(K46*(POWER(E49,2-E53))/SQRT(1+POWER(TAN(RADIANS(P46)),2))/(E49+E49*E60)))))</f>
        <v>114.99999999999999</v>
      </c>
      <c r="L78" s="344">
        <f>IF(OR(Q46="",Q46=0),180+DEGREES(ATAN((K46*(POWER(E49,2-E53))*TAN(RADIANS(N46))/SQRT(1+POWER(TAN(RADIANS(N46)),2))/(E49+E49*E61))/(K46*(POWER(E49,2-E53))/SQRT(1+POWER(TAN(RADIANS(N46)),2))/(E49+E49*E60)))),180+DEGREES(ATAN((K46*(POWER(E49,2-E53))*TAN(RADIANS(Q46))/SQRT(1+POWER(TAN(RADIANS(Q46)),2))/(E49+E49*E61))/(K46*(POWER(E49,2-E53))/SQRT(1+POWER(TAN(RADIANS(Q46)),2))/(E49+E49*E60)))))</f>
        <v>114.99999999999999</v>
      </c>
      <c r="M78" s="345">
        <f>IF(OR(R46="",R46=0),180+DEGREES(ATAN((K46*(POWER(E49,2-E53))*TAN(RADIANS(N46))/SQRT(1+POWER(TAN(RADIANS(N46)),2))/(E49+E49*E61))/(K46*(POWER(E49,2-E53))/SQRT(1+POWER(TAN(RADIANS(N46)),2))/(E49+E49*E60)))),180+DEGREES(ATAN((K46*(POWER(E49,2-E53))*TAN(RADIANS(R46))/SQRT(1+POWER(TAN(RADIANS(R46)),2))/(E49+E49*E61))/(K46*(POWER(E49,2-E53))/SQRT(1+POWER(TAN(RADIANS(R46)),2))/(E49+E49*E60)))))</f>
        <v>114.99999999999999</v>
      </c>
      <c r="N78" s="172"/>
      <c r="O78" s="143"/>
      <c r="P78" s="143"/>
      <c r="Q78" s="143"/>
      <c r="R78" s="143"/>
      <c r="S78" s="122"/>
      <c r="T78" s="632"/>
      <c r="U78" s="44"/>
      <c r="V78" s="64" t="s">
        <v>570</v>
      </c>
      <c r="W78" s="103"/>
      <c r="X78" s="102"/>
      <c r="Y78" s="17"/>
      <c r="Z78" s="64" t="s">
        <v>550</v>
      </c>
      <c r="AA78" s="103"/>
      <c r="AB78" s="102"/>
      <c r="AC78" s="358"/>
      <c r="AD78" s="358"/>
      <c r="AE78" s="358"/>
      <c r="AF78" s="358"/>
      <c r="AG78" s="358"/>
      <c r="AH78" s="358"/>
      <c r="AI78" s="358"/>
      <c r="AJ78" s="122"/>
      <c r="AK78" s="123"/>
    </row>
    <row r="79" spans="1:37" ht="15.75" thickBot="1" x14ac:dyDescent="0.3">
      <c r="A79" s="17"/>
      <c r="B79" s="64"/>
      <c r="C79" s="17"/>
      <c r="D79" s="17"/>
      <c r="E79" s="17"/>
      <c r="F79" s="122"/>
      <c r="G79" s="632"/>
      <c r="H79" s="44"/>
      <c r="I79" s="749" t="s">
        <v>463</v>
      </c>
      <c r="J79" s="750"/>
      <c r="K79" s="586">
        <f>K78-E23</f>
        <v>0</v>
      </c>
      <c r="L79" s="586">
        <f>L78-E23</f>
        <v>0</v>
      </c>
      <c r="M79" s="587">
        <f>M78-E23</f>
        <v>0</v>
      </c>
      <c r="N79" s="172" t="str">
        <f>IF(OR(IF(ISNUMBER(K79),IF(ABS(K79)&gt;5,1,0),0),IF(ISNUMBER(L79),IF(ABS(L79)&gt;5,1,0),0),IF(ISNUMBER(M79),IF(ABS(M79)&gt;5,1,0),0)),"&lt;= Err","")</f>
        <v/>
      </c>
      <c r="O79" s="143"/>
      <c r="P79" s="143"/>
      <c r="Q79" s="143"/>
      <c r="R79" s="143"/>
      <c r="S79" s="122"/>
      <c r="T79" s="632"/>
      <c r="U79" s="44"/>
      <c r="V79" s="44" t="s">
        <v>194</v>
      </c>
      <c r="W79" s="97">
        <f>W80/TAN(RADIANS(AE35))</f>
        <v>0</v>
      </c>
      <c r="X79" s="97">
        <f>X80/TAN(RADIANS(AE35))</f>
        <v>1.4582142857142864</v>
      </c>
      <c r="Y79" s="17"/>
      <c r="Z79" s="44" t="s">
        <v>194</v>
      </c>
      <c r="AA79" s="97">
        <f>AA80/TAN(RADIANS(AE35))</f>
        <v>1.4582142857142864</v>
      </c>
      <c r="AB79" s="97">
        <f>AA79+1.5*X34</f>
        <v>4.9086368209255538</v>
      </c>
      <c r="AC79" s="358"/>
      <c r="AD79" s="358"/>
      <c r="AE79" s="358"/>
      <c r="AF79" s="358"/>
      <c r="AG79" s="358"/>
      <c r="AH79" s="358"/>
      <c r="AI79" s="358"/>
      <c r="AJ79" s="122"/>
      <c r="AK79" s="123"/>
    </row>
    <row r="80" spans="1:37" x14ac:dyDescent="0.25">
      <c r="A80" s="17"/>
      <c r="B80" s="64"/>
      <c r="C80" s="17"/>
      <c r="D80" s="17"/>
      <c r="E80" s="17"/>
      <c r="F80" s="122"/>
      <c r="G80" s="632"/>
      <c r="H80" s="44"/>
      <c r="I80" s="751" t="s">
        <v>464</v>
      </c>
      <c r="J80" s="752"/>
      <c r="K80" s="346">
        <f>IF(K55="-","-",IF(E24=0,"-",IF(OR(P55="",P55=0,P56="",P56=0),DEGREES(ATAN(((1+E60)/(1+E61))*(N56*SIN(RADIANS(L56))-N55*SIN(RADIANS(L55)))/(N56*COS(RADIANS(L56))-N55*COS(RADIANS(L55))))),DEGREES(ATAN(((1+E60)/(1+E61))*(P56*SIN(RADIANS(L56))-P55*SIN(RADIANS(L55)))/(P56*COS(RADIANS(L56))-P55*COS(RADIANS(L55))))))))</f>
        <v>-12.000000000000036</v>
      </c>
      <c r="L80" s="346">
        <f>IF(K55="-","-",IF(E24=0,"-",IF(OR(Q55="",Q55=0,Q56="",Q56=0),DEGREES(ATAN(((1+E60)/(1+E61))*(N56*SIN(RADIANS(L56))-N55*SIN(RADIANS(L55)))/(N56*COS(RADIANS(L56))-N55*COS(RADIANS(L55))))),DEGREES(ATAN(((1+E60)/(1+E61))*(Q56*SIN(RADIANS(L56))-Q55*SIN(RADIANS(L55)))/(Q56*COS(RADIANS(L56))-Q55*COS(RADIANS(L55))))))))</f>
        <v>-12.000000000000036</v>
      </c>
      <c r="M80" s="347">
        <f>IF(K55="-","-",IF(E24=0,"-",IF(OR(R55="",R55=0,R56="",R56=0),DEGREES(ATAN(((1+E60)/(1+E61))*(N56*SIN(RADIANS(L56))-N55*SIN(RADIANS(L55)))/(N56*COS(RADIANS(L56))-N55*COS(RADIANS(L55))))),DEGREES(ATAN(((1+E60)/(1+E61))*(R56*SIN(RADIANS(L56))-R55*SIN(RADIANS(L55)))/(R56*COS(RADIANS(L56))-R55*COS(RADIANS(L55))))))))</f>
        <v>-12.000000000000036</v>
      </c>
      <c r="N80" s="172"/>
      <c r="O80" s="143"/>
      <c r="P80" s="143"/>
      <c r="Q80" s="143"/>
      <c r="R80" s="143"/>
      <c r="S80" s="122"/>
      <c r="T80" s="632"/>
      <c r="U80" s="44"/>
      <c r="V80" s="44" t="s">
        <v>195</v>
      </c>
      <c r="W80" s="97">
        <f>0*X33</f>
        <v>0</v>
      </c>
      <c r="X80" s="97">
        <f>X33</f>
        <v>6.3116666666666665</v>
      </c>
      <c r="Y80" s="17"/>
      <c r="Z80" s="44" t="s">
        <v>195</v>
      </c>
      <c r="AA80" s="97">
        <f>X33</f>
        <v>6.3116666666666665</v>
      </c>
      <c r="AB80" s="97">
        <f>AA80+(AB79-AA79)*TAN(RADIANS(X38))</f>
        <v>5.3054770428611988</v>
      </c>
      <c r="AC80" s="358"/>
      <c r="AD80" s="358"/>
      <c r="AE80" s="358"/>
      <c r="AF80" s="358"/>
      <c r="AG80" s="358"/>
      <c r="AH80" s="358"/>
      <c r="AI80" s="358"/>
      <c r="AJ80" s="122"/>
      <c r="AK80" s="123"/>
    </row>
    <row r="81" spans="1:37" ht="15.75" thickBot="1" x14ac:dyDescent="0.3">
      <c r="A81" s="17"/>
      <c r="B81" s="64"/>
      <c r="C81" s="17"/>
      <c r="D81" s="17"/>
      <c r="E81" s="17"/>
      <c r="F81" s="122"/>
      <c r="G81" s="632"/>
      <c r="H81" s="44"/>
      <c r="I81" s="749" t="s">
        <v>465</v>
      </c>
      <c r="J81" s="750"/>
      <c r="K81" s="586">
        <f>IF(K55="-","-",IF(E24=0,"-",K80-E24))</f>
        <v>-3.5527136788005009E-14</v>
      </c>
      <c r="L81" s="586">
        <f>IF(K55="-","-",IF(E24=0,"-",L80-E24))</f>
        <v>-3.5527136788005009E-14</v>
      </c>
      <c r="M81" s="587">
        <f>IF(K55="-","-",IF(E24=0,"-",M80-E24))</f>
        <v>-3.5527136788005009E-14</v>
      </c>
      <c r="N81" s="172" t="str">
        <f>IF(OR(IF(ISNUMBER(K81),IF(ABS(K81)&gt;5,1,0),0),IF(ISNUMBER(L81),IF(ABS(L81)&gt;5,1,0),0),IF(ISNUMBER(M81),IF(ABS(M81)&gt;5,1,0),0)),"&lt;= Err","")</f>
        <v/>
      </c>
      <c r="O81" s="143"/>
      <c r="P81" s="143"/>
      <c r="Q81" s="143"/>
      <c r="R81" s="143"/>
      <c r="S81" s="122"/>
      <c r="T81" s="632"/>
      <c r="U81" s="44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358"/>
      <c r="AH81" s="358"/>
      <c r="AI81" s="358"/>
      <c r="AJ81" s="122"/>
      <c r="AK81" s="123"/>
    </row>
    <row r="82" spans="1:37" x14ac:dyDescent="0.25">
      <c r="A82" s="17"/>
      <c r="B82" s="64"/>
      <c r="C82" s="17"/>
      <c r="D82" s="17"/>
      <c r="E82" s="17"/>
      <c r="F82" s="122"/>
      <c r="G82" s="632"/>
      <c r="H82" s="44"/>
      <c r="I82" s="751" t="s">
        <v>130</v>
      </c>
      <c r="J82" s="752"/>
      <c r="K82" s="348">
        <f>IF(K50="-","-",ABS(IF(OR(P50="",P50=0),N50,P50)*COS(RADIANS(L50))*IF(E53=2,1/E49,1)/(1+E60)))</f>
        <v>1.2</v>
      </c>
      <c r="L82" s="348">
        <f>IF(K50="-","-",ABS(IF(OR(Q50="",Q50=0),N50,Q50)*COS(RADIANS(L50))*IF(E53=2,1/E49,1)/(1+E60)))</f>
        <v>1.2</v>
      </c>
      <c r="M82" s="349">
        <f>IF(K50="-","-",ABS(IF(OR(R50="",R50=0),N50,R50)*COS(RADIANS(L50))*IF(E53=2,1/E49,1)/(1+E60)))</f>
        <v>1.2</v>
      </c>
      <c r="N82" s="173"/>
      <c r="O82" s="143"/>
      <c r="P82" s="143"/>
      <c r="Q82" s="143"/>
      <c r="R82" s="143"/>
      <c r="S82" s="122"/>
      <c r="T82" s="632"/>
      <c r="U82" s="44"/>
      <c r="V82" s="64"/>
      <c r="W82" s="103"/>
      <c r="X82" s="102"/>
      <c r="Y82" s="102"/>
      <c r="Z82" s="102"/>
      <c r="AA82" s="102"/>
      <c r="AB82" s="358"/>
      <c r="AC82" s="358"/>
      <c r="AD82" s="358"/>
      <c r="AE82" s="358"/>
      <c r="AF82" s="358"/>
      <c r="AG82" s="358"/>
      <c r="AH82" s="358"/>
      <c r="AI82" s="358"/>
      <c r="AJ82" s="122"/>
      <c r="AK82" s="123"/>
    </row>
    <row r="83" spans="1:37" x14ac:dyDescent="0.25">
      <c r="A83" s="17"/>
      <c r="B83" s="64"/>
      <c r="C83" s="17"/>
      <c r="D83" s="17"/>
      <c r="E83" s="17"/>
      <c r="F83" s="122"/>
      <c r="G83" s="632"/>
      <c r="H83" s="44"/>
      <c r="I83" s="755" t="s">
        <v>123</v>
      </c>
      <c r="J83" s="756"/>
      <c r="K83" s="584">
        <f>IF(K82="-","-",(K82-E26)*100/E26)</f>
        <v>0</v>
      </c>
      <c r="L83" s="584">
        <f>IF(L82="-","-",(L82-E26)*100/E26)</f>
        <v>0</v>
      </c>
      <c r="M83" s="585">
        <f>IF(M82="-","-",(M82-E26)*100/E26)</f>
        <v>0</v>
      </c>
      <c r="N83" s="172" t="str">
        <f>IF(OR(IF(ISNUMBER(K83),IF(ABS(K83)&gt;5,1,0),0),IF(ISNUMBER(L83),IF(ABS(L83)&gt;5,1,0),0),IF(ISNUMBER(M83),IF(ABS(M83)&gt;5,1,0),0)),"&lt;= Err","")</f>
        <v/>
      </c>
      <c r="O83" s="141"/>
      <c r="P83" s="141"/>
      <c r="Q83" s="18"/>
      <c r="R83" s="18"/>
      <c r="S83" s="122"/>
      <c r="T83" s="632"/>
      <c r="U83" s="44"/>
      <c r="V83" s="17"/>
      <c r="W83" s="17"/>
      <c r="X83" s="17"/>
      <c r="Y83" s="17"/>
      <c r="Z83" s="17"/>
      <c r="AA83" s="17"/>
      <c r="AB83" s="17"/>
      <c r="AC83" s="358"/>
      <c r="AD83" s="358"/>
      <c r="AE83" s="358"/>
      <c r="AF83" s="358"/>
      <c r="AG83" s="358"/>
      <c r="AH83" s="358"/>
      <c r="AI83" s="358"/>
      <c r="AJ83" s="122"/>
      <c r="AK83" s="123"/>
    </row>
    <row r="84" spans="1:37" x14ac:dyDescent="0.25">
      <c r="A84" s="17"/>
      <c r="B84" s="64"/>
      <c r="C84" s="17"/>
      <c r="D84" s="17"/>
      <c r="E84" s="17"/>
      <c r="F84" s="122"/>
      <c r="G84" s="632"/>
      <c r="H84" s="44"/>
      <c r="I84" s="747" t="s">
        <v>466</v>
      </c>
      <c r="J84" s="748"/>
      <c r="K84" s="344">
        <f>IF(K51="-","-",IF(OR(P51="",P51=0),DEGREES(ATAN(TAN(RADIANS(N51))*(1+E60)/(1+E61))),DEGREES(ATAN(TAN(RADIANS(P51))*(1+E60)/(1+E61)))))</f>
        <v>10</v>
      </c>
      <c r="L84" s="344">
        <f>IF(K51="-","-",IF(OR(Q51="",Q51=0),DEGREES(ATAN(TAN(RADIANS(N51))*(1+E60)/(1+E61))),DEGREES(ATAN(TAN(RADIANS(Q51))*(1+E60)/(1+E61)))))</f>
        <v>10</v>
      </c>
      <c r="M84" s="345">
        <f>IF(K51="-","-",IF(OR(R51="",R51=0),DEGREES(ATAN(TAN(RADIANS(N51))*(1+E60)/(1+E61))),DEGREES(ATAN(TAN(RADIANS(R51))*(1+E60)/(1+E61)))))</f>
        <v>10</v>
      </c>
      <c r="N84" s="172"/>
      <c r="O84" s="141"/>
      <c r="P84" s="141"/>
      <c r="Q84" s="18"/>
      <c r="R84" s="18"/>
      <c r="S84" s="122"/>
      <c r="T84" s="632"/>
      <c r="U84" s="44"/>
      <c r="V84" s="17"/>
      <c r="W84" s="17"/>
      <c r="X84" s="17"/>
      <c r="Y84" s="17"/>
      <c r="Z84" s="17"/>
      <c r="AA84" s="17"/>
      <c r="AB84" s="17"/>
      <c r="AC84" s="358"/>
      <c r="AD84" s="358"/>
      <c r="AE84" s="358"/>
      <c r="AF84" s="358"/>
      <c r="AG84" s="166"/>
      <c r="AH84" s="166"/>
      <c r="AI84" s="166"/>
      <c r="AJ84" s="122"/>
      <c r="AK84" s="123"/>
    </row>
    <row r="85" spans="1:37" ht="15.75" thickBot="1" x14ac:dyDescent="0.3">
      <c r="A85" s="17"/>
      <c r="B85" s="64"/>
      <c r="C85" s="17"/>
      <c r="D85" s="17"/>
      <c r="E85" s="17"/>
      <c r="F85" s="122"/>
      <c r="G85" s="632"/>
      <c r="H85" s="44"/>
      <c r="I85" s="757" t="s">
        <v>467</v>
      </c>
      <c r="J85" s="758"/>
      <c r="K85" s="588">
        <f>IF(K84="-","-",(E27-K84))</f>
        <v>0</v>
      </c>
      <c r="L85" s="588">
        <f>IF(L84="-","-",(E27-L84))</f>
        <v>0</v>
      </c>
      <c r="M85" s="589">
        <f>IF(M84="-","-",(E27-M84))</f>
        <v>0</v>
      </c>
      <c r="N85" s="172" t="str">
        <f>IF(OR(IF(ISNUMBER(K85),IF(ABS(K85)&gt;5,1,0),0),IF(ISNUMBER(L85),IF(ABS(L85)&gt;5,1,0),0),IF(ISNUMBER(M85),IF(ABS(M85)&gt;5,1,0),0)),"&lt;= Err","")</f>
        <v/>
      </c>
      <c r="O85" s="141"/>
      <c r="P85" s="141"/>
      <c r="Q85" s="18"/>
      <c r="R85" s="18"/>
      <c r="S85" s="122"/>
      <c r="T85" s="632"/>
      <c r="U85" s="44"/>
      <c r="V85" s="17"/>
      <c r="W85" s="17"/>
      <c r="X85" s="17"/>
      <c r="Y85" s="17"/>
      <c r="Z85" s="17"/>
      <c r="AA85" s="17"/>
      <c r="AB85" s="17"/>
      <c r="AC85" s="358"/>
      <c r="AD85" s="358"/>
      <c r="AE85" s="358"/>
      <c r="AF85" s="358"/>
      <c r="AG85" s="166"/>
      <c r="AH85" s="166"/>
      <c r="AI85" s="166"/>
      <c r="AJ85" s="122"/>
      <c r="AK85" s="123"/>
    </row>
    <row r="86" spans="1:37" x14ac:dyDescent="0.25">
      <c r="A86" s="17"/>
      <c r="B86" s="64"/>
      <c r="C86" s="17"/>
      <c r="D86" s="17"/>
      <c r="E86" s="17"/>
      <c r="F86" s="122"/>
      <c r="G86" s="632"/>
      <c r="H86" s="44"/>
      <c r="I86" s="17"/>
      <c r="J86" s="17"/>
      <c r="K86" s="17"/>
      <c r="L86" s="17"/>
      <c r="M86" s="17"/>
      <c r="N86" s="18"/>
      <c r="O86" s="18"/>
      <c r="P86" s="18"/>
      <c r="Q86" s="18"/>
      <c r="R86" s="18"/>
      <c r="S86" s="122"/>
      <c r="T86" s="632"/>
      <c r="U86" s="44"/>
      <c r="V86" s="17"/>
      <c r="W86" s="17"/>
      <c r="X86" s="17"/>
      <c r="Y86" s="102"/>
      <c r="Z86" s="102"/>
      <c r="AA86" s="102"/>
      <c r="AB86" s="166"/>
      <c r="AC86" s="166"/>
      <c r="AD86" s="166"/>
      <c r="AE86" s="166"/>
      <c r="AF86" s="166"/>
      <c r="AG86" s="166"/>
      <c r="AH86" s="166"/>
      <c r="AI86" s="166"/>
      <c r="AJ86" s="122"/>
      <c r="AK86" s="123"/>
    </row>
    <row r="87" spans="1:37" ht="15.75" x14ac:dyDescent="0.25">
      <c r="A87" s="17"/>
      <c r="B87" s="64"/>
      <c r="C87" s="17"/>
      <c r="D87" s="17"/>
      <c r="E87" s="17"/>
      <c r="F87" s="122"/>
      <c r="G87" s="632"/>
      <c r="H87" s="44"/>
      <c r="I87" s="152" t="s">
        <v>209</v>
      </c>
      <c r="J87" s="17"/>
      <c r="K87" s="17"/>
      <c r="L87" s="17"/>
      <c r="M87" s="17"/>
      <c r="N87" s="18"/>
      <c r="O87" s="18"/>
      <c r="P87" s="18"/>
      <c r="Q87" s="18"/>
      <c r="R87" s="18"/>
      <c r="S87" s="122"/>
      <c r="T87" s="632"/>
      <c r="U87" s="44"/>
      <c r="V87" s="17"/>
      <c r="W87" s="17"/>
      <c r="X87" s="17"/>
      <c r="Y87" s="102"/>
      <c r="Z87" s="102"/>
      <c r="AA87" s="102"/>
      <c r="AB87" s="166"/>
      <c r="AC87" s="166"/>
      <c r="AD87" s="166"/>
      <c r="AE87" s="166"/>
      <c r="AF87" s="166"/>
      <c r="AG87" s="166"/>
      <c r="AH87" s="166"/>
      <c r="AI87" s="166"/>
      <c r="AJ87" s="122"/>
      <c r="AK87" s="123"/>
    </row>
    <row r="88" spans="1:37" ht="15.75" thickBot="1" x14ac:dyDescent="0.3">
      <c r="A88" s="17"/>
      <c r="B88" s="64"/>
      <c r="C88" s="17"/>
      <c r="D88" s="17"/>
      <c r="E88" s="17"/>
      <c r="F88" s="122"/>
      <c r="G88" s="632"/>
      <c r="H88" s="44"/>
      <c r="I88" s="17"/>
      <c r="J88" s="17"/>
      <c r="K88" s="17"/>
      <c r="L88" s="17"/>
      <c r="M88" s="17"/>
      <c r="N88" s="18"/>
      <c r="O88" s="18"/>
      <c r="P88" s="18"/>
      <c r="Q88" s="18"/>
      <c r="R88" s="18"/>
      <c r="S88" s="122"/>
      <c r="T88" s="632"/>
      <c r="U88" s="44"/>
      <c r="V88" s="64"/>
      <c r="W88" s="103"/>
      <c r="X88" s="102"/>
      <c r="Y88" s="102"/>
      <c r="Z88" s="102"/>
      <c r="AA88" s="102"/>
      <c r="AB88" s="166"/>
      <c r="AC88" s="166"/>
      <c r="AD88" s="166"/>
      <c r="AE88" s="166"/>
      <c r="AF88" s="166"/>
      <c r="AG88" s="166"/>
      <c r="AH88" s="166"/>
      <c r="AI88" s="166"/>
      <c r="AJ88" s="122"/>
      <c r="AK88" s="123"/>
    </row>
    <row r="89" spans="1:37" ht="15.75" x14ac:dyDescent="0.25">
      <c r="A89" s="17"/>
      <c r="B89" s="64"/>
      <c r="C89" s="17"/>
      <c r="D89" s="17"/>
      <c r="E89" s="17"/>
      <c r="F89" s="122"/>
      <c r="G89" s="632"/>
      <c r="H89" s="44"/>
      <c r="I89" s="721" t="s">
        <v>0</v>
      </c>
      <c r="J89" s="739"/>
      <c r="K89" s="350"/>
      <c r="L89" s="351" t="s">
        <v>124</v>
      </c>
      <c r="M89" s="352"/>
      <c r="N89" s="18"/>
      <c r="O89" s="18"/>
      <c r="P89" s="18"/>
      <c r="Q89" s="18"/>
      <c r="R89" s="18"/>
      <c r="S89" s="122"/>
      <c r="T89" s="645"/>
      <c r="U89" s="44"/>
      <c r="V89" s="17"/>
      <c r="W89" s="17"/>
      <c r="X89" s="17"/>
      <c r="Y89" s="102"/>
      <c r="Z89" s="102"/>
      <c r="AA89" s="102"/>
      <c r="AB89" s="166"/>
      <c r="AC89" s="166"/>
      <c r="AD89" s="166"/>
      <c r="AE89" s="166"/>
      <c r="AF89" s="166"/>
      <c r="AG89" s="166"/>
      <c r="AH89" s="166"/>
      <c r="AI89" s="166"/>
      <c r="AJ89" s="122"/>
      <c r="AK89" s="123"/>
    </row>
    <row r="90" spans="1:37" ht="15.75" thickBot="1" x14ac:dyDescent="0.3">
      <c r="A90" s="17"/>
      <c r="B90" s="64"/>
      <c r="C90" s="17"/>
      <c r="D90" s="17"/>
      <c r="E90" s="17"/>
      <c r="F90" s="122"/>
      <c r="G90" s="123"/>
      <c r="H90" s="44"/>
      <c r="I90" s="740"/>
      <c r="J90" s="741"/>
      <c r="K90" s="338" t="s">
        <v>125</v>
      </c>
      <c r="L90" s="338" t="s">
        <v>126</v>
      </c>
      <c r="M90" s="339" t="s">
        <v>127</v>
      </c>
      <c r="N90" s="18"/>
      <c r="O90" s="18"/>
      <c r="P90" s="18"/>
      <c r="Q90" s="18"/>
      <c r="R90" s="18"/>
      <c r="S90" s="122"/>
      <c r="T90" s="123"/>
      <c r="U90" s="44"/>
      <c r="V90" s="17"/>
      <c r="W90" s="17"/>
      <c r="X90" s="17"/>
      <c r="Y90" s="102"/>
      <c r="Z90" s="102"/>
      <c r="AA90" s="102"/>
      <c r="AB90" s="166"/>
      <c r="AC90" s="166"/>
      <c r="AD90" s="166"/>
      <c r="AE90" s="166"/>
      <c r="AF90" s="166"/>
      <c r="AG90" s="166"/>
      <c r="AH90" s="166"/>
      <c r="AI90" s="166"/>
      <c r="AJ90" s="122"/>
      <c r="AK90" s="123"/>
    </row>
    <row r="91" spans="1:37" x14ac:dyDescent="0.25">
      <c r="A91" s="17"/>
      <c r="B91" s="64"/>
      <c r="C91" s="17"/>
      <c r="D91" s="17"/>
      <c r="E91" s="17"/>
      <c r="F91" s="122"/>
      <c r="G91" s="123"/>
      <c r="H91" s="44"/>
      <c r="I91" s="730" t="s">
        <v>47</v>
      </c>
      <c r="J91" s="731"/>
      <c r="K91" s="340">
        <f>IF(OR(P60="",P60=0),(N60*(POWER(L58,2-E53))*TAN(RADIANS(L60))/SQRT(1+POWER(TAN(RADIANS(L60)),2))/(L58+L58*E61)),(P60*(POWER(L58,2-E53))*TAN(RADIANS(L60))/SQRT(1+POWER(TAN(RADIANS(L60)),2))/(L58+L58*E61)))</f>
        <v>4</v>
      </c>
      <c r="L91" s="340">
        <f>IF(OR(Q60="",Q60=0),(N60*(POWER(L58,2-E53))*TAN(RADIANS(L60))/SQRT(1+POWER(TAN(RADIANS(L60)),2))/(L58+L58*E61)),(Q60*(POWER(L58,2-E53))*TAN(RADIANS(L60))/SQRT(1+POWER(TAN(RADIANS(L60)),2))/(L58+L58*E61)))</f>
        <v>4</v>
      </c>
      <c r="M91" s="341">
        <f>IF(OR(R60="",R60=0),(N60*(POWER(L58,2-E53))*TAN(RADIANS(L60))/SQRT(1+POWER(TAN(RADIANS(L60)),2))/(L58+L58*E61)),(R60*(POWER(L58,2-E53))*TAN(RADIANS(L60))/SQRT(1+POWER(TAN(RADIANS(L60)),2))/(L58+L58*E61)))</f>
        <v>4</v>
      </c>
      <c r="N91" s="18"/>
      <c r="O91" s="18"/>
      <c r="P91" s="18"/>
      <c r="Q91" s="18"/>
      <c r="R91" s="18"/>
      <c r="S91" s="122"/>
      <c r="T91" s="123"/>
      <c r="U91" s="44"/>
      <c r="V91" s="17"/>
      <c r="W91" s="17"/>
      <c r="X91" s="17"/>
      <c r="Y91" s="102"/>
      <c r="Z91" s="102"/>
      <c r="AA91" s="102"/>
      <c r="AB91" s="166"/>
      <c r="AC91" s="166"/>
      <c r="AD91" s="166"/>
      <c r="AE91" s="166"/>
      <c r="AF91" s="166"/>
      <c r="AG91" s="166"/>
      <c r="AH91" s="166"/>
      <c r="AI91" s="166"/>
      <c r="AJ91" s="122"/>
      <c r="AK91" s="123"/>
    </row>
    <row r="92" spans="1:37" ht="15.75" thickBot="1" x14ac:dyDescent="0.3">
      <c r="A92" s="17"/>
      <c r="B92" s="64"/>
      <c r="C92" s="17"/>
      <c r="D92" s="17"/>
      <c r="E92" s="17"/>
      <c r="F92" s="122"/>
      <c r="G92" s="123"/>
      <c r="H92" s="44"/>
      <c r="I92" s="728" t="s">
        <v>54</v>
      </c>
      <c r="J92" s="729"/>
      <c r="K92" s="588">
        <f>(K91-E18)*100/E18</f>
        <v>0</v>
      </c>
      <c r="L92" s="588">
        <f>(L91-E18)*100/E18</f>
        <v>0</v>
      </c>
      <c r="M92" s="589">
        <f>(M91-E18)*100/E18</f>
        <v>0</v>
      </c>
      <c r="N92" s="172" t="str">
        <f>IF(OR(IF(ISNUMBER(K92),IF(ABS(K92)&gt;10,1,0),0),IF(ISNUMBER(L92),IF(ABS(L92)&gt;10,1,0),0),IF(ISNUMBER(M92),IF(ABS(M92)&gt;10,1,0),0)),"&lt;= Err","")</f>
        <v/>
      </c>
      <c r="O92" s="18"/>
      <c r="P92" s="18"/>
      <c r="Q92" s="18"/>
      <c r="R92" s="18"/>
      <c r="S92" s="122"/>
      <c r="T92" s="123"/>
      <c r="U92" s="44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22"/>
      <c r="AK92" s="123"/>
    </row>
    <row r="93" spans="1:37" x14ac:dyDescent="0.25">
      <c r="A93" s="123"/>
      <c r="B93" s="123"/>
      <c r="C93" s="123"/>
      <c r="D93" s="123"/>
      <c r="E93" s="123"/>
      <c r="F93" s="123"/>
      <c r="G93" s="123"/>
      <c r="H93" s="44"/>
      <c r="I93" s="43"/>
      <c r="J93" s="17"/>
      <c r="K93" s="17"/>
      <c r="L93" s="17"/>
      <c r="M93" s="17"/>
      <c r="N93" s="17"/>
      <c r="O93" s="17"/>
      <c r="P93" s="17"/>
      <c r="Q93" s="17"/>
      <c r="R93" s="17"/>
      <c r="S93" s="122"/>
      <c r="T93" s="123"/>
      <c r="U93" s="44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22"/>
      <c r="AK93" s="123"/>
    </row>
    <row r="94" spans="1:37" x14ac:dyDescent="0.25">
      <c r="A94" s="123"/>
      <c r="B94" s="123"/>
      <c r="C94" s="123"/>
      <c r="D94" s="123"/>
      <c r="E94" s="123"/>
      <c r="F94" s="123"/>
      <c r="G94" s="123"/>
      <c r="H94" s="174"/>
      <c r="I94" s="122"/>
      <c r="J94" s="174"/>
      <c r="K94" s="174"/>
      <c r="L94" s="174"/>
      <c r="M94" s="174"/>
      <c r="N94" s="174"/>
      <c r="O94" s="174"/>
      <c r="P94" s="174"/>
      <c r="Q94" s="174"/>
      <c r="R94" s="174"/>
      <c r="S94" s="122"/>
      <c r="T94" s="123"/>
      <c r="U94" s="44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22"/>
      <c r="AK94" s="123"/>
    </row>
    <row r="95" spans="1:37" x14ac:dyDescent="0.25">
      <c r="A95" s="123"/>
      <c r="B95" s="123"/>
      <c r="C95" s="123"/>
      <c r="D95" s="123"/>
      <c r="E95" s="123"/>
      <c r="F95" s="123"/>
      <c r="G95" s="123"/>
      <c r="H95" s="174"/>
      <c r="I95" s="43" t="s">
        <v>480</v>
      </c>
      <c r="J95" s="17"/>
      <c r="K95" s="17"/>
      <c r="L95" s="17"/>
      <c r="M95" s="17"/>
      <c r="N95" s="174"/>
      <c r="O95" s="174"/>
      <c r="P95" s="174"/>
      <c r="Q95" s="174"/>
      <c r="R95" s="174"/>
      <c r="S95" s="122"/>
      <c r="T95" s="123"/>
      <c r="U95" s="44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22"/>
      <c r="AK95" s="123"/>
    </row>
    <row r="96" spans="1:37" ht="15.75" thickBot="1" x14ac:dyDescent="0.3">
      <c r="A96" s="123"/>
      <c r="B96" s="123"/>
      <c r="C96" s="123"/>
      <c r="D96" s="123"/>
      <c r="E96" s="123"/>
      <c r="F96" s="123"/>
      <c r="G96" s="123"/>
      <c r="H96" s="174"/>
      <c r="I96" s="43"/>
      <c r="J96" s="17"/>
      <c r="K96" s="17"/>
      <c r="L96" s="17"/>
      <c r="M96" s="17"/>
      <c r="N96" s="174"/>
      <c r="O96" s="174"/>
      <c r="P96" s="174"/>
      <c r="Q96" s="174"/>
      <c r="R96" s="174"/>
      <c r="S96" s="122"/>
      <c r="T96" s="123"/>
      <c r="U96" s="44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22"/>
      <c r="AK96" s="123"/>
    </row>
    <row r="97" spans="1:37" x14ac:dyDescent="0.25">
      <c r="A97" s="123"/>
      <c r="B97" s="123"/>
      <c r="C97" s="123"/>
      <c r="D97" s="123"/>
      <c r="E97" s="123"/>
      <c r="F97" s="123"/>
      <c r="G97" s="123"/>
      <c r="H97" s="17"/>
      <c r="I97" s="721" t="s">
        <v>0</v>
      </c>
      <c r="J97" s="723" t="s">
        <v>65</v>
      </c>
      <c r="K97" s="725" t="s">
        <v>124</v>
      </c>
      <c r="L97" s="725"/>
      <c r="M97" s="726"/>
      <c r="N97" s="17"/>
      <c r="O97" s="17"/>
      <c r="P97" s="17"/>
      <c r="Q97" s="17"/>
      <c r="R97" s="17"/>
      <c r="S97" s="122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</row>
    <row r="98" spans="1:37" ht="15.75" thickBot="1" x14ac:dyDescent="0.3">
      <c r="A98" s="123"/>
      <c r="B98" s="123"/>
      <c r="C98" s="123"/>
      <c r="D98" s="123"/>
      <c r="E98" s="123"/>
      <c r="F98" s="123"/>
      <c r="G98" s="123"/>
      <c r="H98" s="17"/>
      <c r="I98" s="722"/>
      <c r="J98" s="724"/>
      <c r="K98" s="544" t="s">
        <v>125</v>
      </c>
      <c r="L98" s="516" t="s">
        <v>126</v>
      </c>
      <c r="M98" s="517" t="s">
        <v>127</v>
      </c>
      <c r="N98" s="17"/>
      <c r="O98" s="17"/>
      <c r="P98" s="17"/>
      <c r="Q98" s="17"/>
      <c r="R98" s="17"/>
      <c r="S98" s="122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</row>
    <row r="99" spans="1:37" x14ac:dyDescent="0.25">
      <c r="A99" s="123"/>
      <c r="B99" s="123"/>
      <c r="C99" s="123"/>
      <c r="D99" s="123"/>
      <c r="E99" s="123"/>
      <c r="F99" s="123"/>
      <c r="G99" s="123"/>
      <c r="H99" s="17"/>
      <c r="I99" s="525" t="s">
        <v>47</v>
      </c>
      <c r="J99" s="546">
        <f>E18</f>
        <v>4</v>
      </c>
      <c r="K99" s="567">
        <f t="shared" ref="K99:M100" si="5">K70</f>
        <v>4</v>
      </c>
      <c r="L99" s="545">
        <f t="shared" si="5"/>
        <v>4</v>
      </c>
      <c r="M99" s="568">
        <f t="shared" si="5"/>
        <v>4</v>
      </c>
      <c r="N99" s="17"/>
      <c r="O99" s="17"/>
      <c r="P99" s="17"/>
      <c r="Q99" s="17"/>
      <c r="R99" s="17"/>
      <c r="S99" s="122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</row>
    <row r="100" spans="1:37" x14ac:dyDescent="0.25">
      <c r="A100" s="123"/>
      <c r="B100" s="123"/>
      <c r="C100" s="123"/>
      <c r="D100" s="123"/>
      <c r="E100" s="123"/>
      <c r="F100" s="123"/>
      <c r="G100" s="123"/>
      <c r="H100" s="17"/>
      <c r="I100" s="526" t="s">
        <v>54</v>
      </c>
      <c r="J100" s="554" t="s">
        <v>455</v>
      </c>
      <c r="K100" s="569">
        <f t="shared" si="5"/>
        <v>0</v>
      </c>
      <c r="L100" s="531">
        <f t="shared" si="5"/>
        <v>0</v>
      </c>
      <c r="M100" s="570">
        <f t="shared" si="5"/>
        <v>0</v>
      </c>
      <c r="N100" s="17"/>
      <c r="O100" s="17"/>
      <c r="P100" s="17"/>
      <c r="Q100" s="17"/>
      <c r="R100" s="17"/>
      <c r="S100" s="122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</row>
    <row r="101" spans="1:37" x14ac:dyDescent="0.25">
      <c r="A101" s="123"/>
      <c r="B101" s="123"/>
      <c r="C101" s="123"/>
      <c r="D101" s="123"/>
      <c r="E101" s="123"/>
      <c r="F101" s="123"/>
      <c r="G101" s="123"/>
      <c r="H101" s="17"/>
      <c r="I101" s="540" t="str">
        <f>CONCATENATE("Uф, B (при Iф = ",E49,"A / 0",CHAR(176),")")</f>
        <v>Uф, B (при Iф = 1A / 0°)</v>
      </c>
      <c r="J101" s="556" t="s">
        <v>56</v>
      </c>
      <c r="K101" s="571" t="str">
        <f>CONCATENATE(TEXT(ABS(IF(OR(P42="",P42=0),N42,P42)*IF(E53=1,E49,1)),"0,00")," / ",TEXT(L42,"0,0"),CHAR(176))</f>
        <v>6,31 / 90,0°</v>
      </c>
      <c r="L101" s="518" t="str">
        <f>CONCATENATE(TEXT(ABS(IF(OR(Q42="",Q42=0),N42,Q42)*IF(E53=1,E49,1)),"0,00")," / ",TEXT(L42,"0,0"),CHAR(176))</f>
        <v>6,31 / 90,0°</v>
      </c>
      <c r="M101" s="520" t="str">
        <f>CONCATENATE(TEXT(ABS(IF(OR(R42="",R42=0),N42,R42)*IF(E53=1,E49,1)),"0,00")," / ",TEXT(L42,"0,0"),CHAR(176))</f>
        <v>6,31 / 90,0°</v>
      </c>
      <c r="N101" s="17"/>
      <c r="O101" s="17"/>
      <c r="P101" s="17"/>
      <c r="Q101" s="17"/>
      <c r="R101" s="17"/>
      <c r="S101" s="122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</row>
    <row r="102" spans="1:37" x14ac:dyDescent="0.25">
      <c r="A102" s="123"/>
      <c r="B102" s="123"/>
      <c r="C102" s="123"/>
      <c r="D102" s="123"/>
      <c r="E102" s="123"/>
      <c r="F102" s="123"/>
      <c r="G102" s="123"/>
      <c r="H102" s="17"/>
      <c r="I102" s="541" t="s">
        <v>46</v>
      </c>
      <c r="J102" s="547">
        <f>E19</f>
        <v>2</v>
      </c>
      <c r="K102" s="572">
        <f t="shared" ref="K102:M103" si="6">K72</f>
        <v>1.9999999999999996</v>
      </c>
      <c r="L102" s="533">
        <f t="shared" si="6"/>
        <v>1.9999999999999996</v>
      </c>
      <c r="M102" s="573">
        <f t="shared" si="6"/>
        <v>1.9999999999999996</v>
      </c>
      <c r="N102" s="17"/>
      <c r="O102" s="17"/>
      <c r="P102" s="17"/>
      <c r="Q102" s="17"/>
      <c r="R102" s="17"/>
      <c r="S102" s="122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</row>
    <row r="103" spans="1:37" x14ac:dyDescent="0.25">
      <c r="A103" s="123"/>
      <c r="B103" s="123"/>
      <c r="C103" s="123"/>
      <c r="D103" s="123"/>
      <c r="E103" s="123"/>
      <c r="F103" s="123"/>
      <c r="G103" s="123"/>
      <c r="H103" s="17"/>
      <c r="I103" s="526" t="s">
        <v>55</v>
      </c>
      <c r="J103" s="554" t="s">
        <v>455</v>
      </c>
      <c r="K103" s="569">
        <f t="shared" si="6"/>
        <v>-2.2204460492503131E-14</v>
      </c>
      <c r="L103" s="531">
        <f t="shared" si="6"/>
        <v>-2.2204460492503131E-14</v>
      </c>
      <c r="M103" s="570">
        <f t="shared" si="6"/>
        <v>-2.2204460492503131E-14</v>
      </c>
      <c r="N103" s="17"/>
      <c r="O103" s="17"/>
      <c r="P103" s="17"/>
      <c r="Q103" s="17"/>
      <c r="R103" s="17"/>
      <c r="S103" s="122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</row>
    <row r="104" spans="1:37" ht="25.5" x14ac:dyDescent="0.25">
      <c r="A104" s="123"/>
      <c r="B104" s="123"/>
      <c r="C104" s="123"/>
      <c r="D104" s="123"/>
      <c r="E104" s="123"/>
      <c r="F104" s="123"/>
      <c r="G104" s="123"/>
      <c r="H104" s="17"/>
      <c r="I104" s="540" t="str">
        <f>I101</f>
        <v>Uф, B (при Iф = 1A / 0°)</v>
      </c>
      <c r="J104" s="556" t="s">
        <v>56</v>
      </c>
      <c r="K104" s="571" t="str">
        <f>CONCATENATE(TEXT(ABS(IF(OR(P43="",P43=0),N43,P43)*IF(E53=1,E49,1)),"0,00")," / ",TEXT(L43,"0,0"),CHAR(176))&amp;IF(L43=0,"",CONCATENATE(CHAR(10),TEXT(ABS(K44*IF(E53=1,E49,1)),"0,00")," / ",TEXT(IF(OR(P44="",P44=0),N44,P44),"0,0"),CHAR(176)))</f>
        <v>2,62 / 17,0°
6,10 / 53,8°</v>
      </c>
      <c r="L104" s="518" t="str">
        <f>CONCATENATE(TEXT(ABS(IF(OR(Q43="",Q43=0),N43,Q43)*IF(E53=1,E49,1)),"0,00")," / ",TEXT(L43,"0,0"),CHAR(176))&amp;IF(L43=0,"",CONCATENATE(CHAR(10),TEXT(ABS(K44*IF(E53=1,E49,1)),"0,00")," / ",TEXT(IF(OR(Q44="",Q44=0),N44,Q44),"0,0"),CHAR(176)))</f>
        <v>2,62 / 17,0°
6,10 / 53,8°</v>
      </c>
      <c r="M104" s="520" t="str">
        <f>CONCATENATE(TEXT(ABS(IF(OR(R43="",R43=0),N43,R43)*IF(E53=1,E49,1)),"0,00")," / ",TEXT(L43,"0,0"),CHAR(176))&amp;IF(L43=0,"",CONCATENATE(CHAR(10),TEXT(ABS(K44*IF(E53=1,E49,1)),"0,00")," / ",TEXT(IF(OR(R44="",R44=0),N44,R44),"0,0"),CHAR(176)))</f>
        <v>2,62 / 17,0°
6,10 / 53,8°</v>
      </c>
      <c r="N104" s="17"/>
      <c r="O104" s="17"/>
      <c r="P104" s="17"/>
      <c r="Q104" s="17"/>
      <c r="R104" s="17"/>
      <c r="S104" s="122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</row>
    <row r="105" spans="1:37" x14ac:dyDescent="0.25">
      <c r="A105" s="123"/>
      <c r="B105" s="123"/>
      <c r="C105" s="123"/>
      <c r="D105" s="123"/>
      <c r="E105" s="123"/>
      <c r="F105" s="123"/>
      <c r="G105" s="123"/>
      <c r="H105" s="17"/>
      <c r="I105" s="541" t="s">
        <v>458</v>
      </c>
      <c r="J105" s="557">
        <f>E21</f>
        <v>70</v>
      </c>
      <c r="K105" s="574">
        <f t="shared" ref="K105:M106" si="7">K74</f>
        <v>69.999999999999986</v>
      </c>
      <c r="L105" s="534">
        <f t="shared" si="7"/>
        <v>69.999999999999986</v>
      </c>
      <c r="M105" s="575">
        <f t="shared" si="7"/>
        <v>69.999999999999986</v>
      </c>
      <c r="N105" s="17"/>
      <c r="O105" s="17"/>
      <c r="P105" s="17"/>
      <c r="Q105" s="17"/>
      <c r="R105" s="17"/>
      <c r="S105" s="122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</row>
    <row r="106" spans="1:37" ht="15.75" x14ac:dyDescent="0.25">
      <c r="A106" s="123"/>
      <c r="B106" s="123"/>
      <c r="C106" s="123"/>
      <c r="D106" s="123"/>
      <c r="E106" s="123"/>
      <c r="F106" s="123"/>
      <c r="G106" s="123"/>
      <c r="H106" s="17"/>
      <c r="I106" s="526" t="s">
        <v>461</v>
      </c>
      <c r="J106" s="554" t="s">
        <v>455</v>
      </c>
      <c r="K106" s="569">
        <f t="shared" si="7"/>
        <v>0</v>
      </c>
      <c r="L106" s="531">
        <f t="shared" si="7"/>
        <v>0</v>
      </c>
      <c r="M106" s="570">
        <f t="shared" si="7"/>
        <v>0</v>
      </c>
      <c r="N106" s="17"/>
      <c r="O106" s="17"/>
      <c r="P106" s="17"/>
      <c r="Q106" s="17"/>
      <c r="R106" s="17"/>
      <c r="S106" s="122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</row>
    <row r="107" spans="1:37" ht="25.5" x14ac:dyDescent="0.25">
      <c r="A107" s="123"/>
      <c r="B107" s="123"/>
      <c r="C107" s="123"/>
      <c r="D107" s="123"/>
      <c r="E107" s="123"/>
      <c r="F107" s="123"/>
      <c r="G107" s="123"/>
      <c r="H107" s="17"/>
      <c r="I107" s="540" t="str">
        <f>I101</f>
        <v>Uф, B (при Iф = 1A / 0°)</v>
      </c>
      <c r="J107" s="559" t="s">
        <v>56</v>
      </c>
      <c r="K107" s="576" t="str">
        <f>CONCATENATE(TEXT(ABS(IF(OR(P43="",P43=0),N43,P43)*IF(E53=1,E49,1)),"0,00")," / ",TEXT(L43,"0,0"),CHAR(176),CHAR(10),TEXT(ABS(K44*IF(E53=1,E49,1)),"0,00")," / ",TEXT(IF(OR(P44="",P44=0),N44,P44),"0,0"),CHAR(176))</f>
        <v>2,62 / 17,0°
6,10 / 53,8°</v>
      </c>
      <c r="L107" s="519" t="str">
        <f>CONCATENATE(TEXT(ABS(IF(OR(Q43="",Q43=0),N43,Q43)*IF(E53=1,E49,1)),"0,00")," / ",TEXT(L43,"0,0"),CHAR(176),CHAR(10),TEXT(ABS(K44*IF(E53=1,E49,1)),"0,00")," / ",TEXT(IF(OR(Q44="",Q44=0),N44,Q44),"0,0"),CHAR(176))</f>
        <v>2,62 / 17,0°
6,10 / 53,8°</v>
      </c>
      <c r="M107" s="521" t="str">
        <f>CONCATENATE(TEXT(ABS(IF(OR(R43="",R43=0),N43,R43)*IF(E53=1,E49,1)),"0,00")," / ",TEXT(L43,"0,0"),CHAR(176),CHAR(10),TEXT(ABS(K44*IF(E53=1,E49,1)),"0,00")," / ",TEXT(IF(OR(R44="",R44=0),N44,R44),"0,0"),CHAR(176))</f>
        <v>2,62 / 17,0°
6,10 / 53,8°</v>
      </c>
      <c r="N107" s="17"/>
      <c r="O107" s="17"/>
      <c r="P107" s="17"/>
      <c r="Q107" s="17"/>
      <c r="R107" s="17"/>
      <c r="S107" s="122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</row>
    <row r="108" spans="1:37" x14ac:dyDescent="0.25">
      <c r="A108" s="123"/>
      <c r="B108" s="123"/>
      <c r="C108" s="123"/>
      <c r="D108" s="123"/>
      <c r="E108" s="123"/>
      <c r="F108" s="123"/>
      <c r="G108" s="123"/>
      <c r="H108" s="17"/>
      <c r="I108" s="541" t="s">
        <v>459</v>
      </c>
      <c r="J108" s="557">
        <f>E22</f>
        <v>-20</v>
      </c>
      <c r="K108" s="574">
        <f t="shared" ref="K108:M109" si="8">K76</f>
        <v>-20.000000000000018</v>
      </c>
      <c r="L108" s="534">
        <f t="shared" si="8"/>
        <v>-20.000000000000018</v>
      </c>
      <c r="M108" s="575">
        <f t="shared" si="8"/>
        <v>-20.000000000000018</v>
      </c>
      <c r="N108" s="17"/>
      <c r="O108" s="17"/>
      <c r="P108" s="17"/>
      <c r="Q108" s="17"/>
      <c r="R108" s="17"/>
      <c r="S108" s="122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</row>
    <row r="109" spans="1:37" ht="15.75" x14ac:dyDescent="0.25">
      <c r="A109" s="123"/>
      <c r="B109" s="123"/>
      <c r="C109" s="123"/>
      <c r="D109" s="123"/>
      <c r="E109" s="123"/>
      <c r="F109" s="123"/>
      <c r="G109" s="123"/>
      <c r="H109" s="17"/>
      <c r="I109" s="526" t="s">
        <v>462</v>
      </c>
      <c r="J109" s="554" t="s">
        <v>455</v>
      </c>
      <c r="K109" s="569">
        <f t="shared" si="8"/>
        <v>1.7763568394002505E-14</v>
      </c>
      <c r="L109" s="531">
        <f t="shared" si="8"/>
        <v>1.7763568394002505E-14</v>
      </c>
      <c r="M109" s="570">
        <f t="shared" si="8"/>
        <v>1.7763568394002505E-14</v>
      </c>
      <c r="N109" s="17"/>
      <c r="O109" s="17"/>
      <c r="P109" s="17"/>
      <c r="Q109" s="17"/>
      <c r="R109" s="17"/>
      <c r="S109" s="122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</row>
    <row r="110" spans="1:37" x14ac:dyDescent="0.25">
      <c r="A110" s="123"/>
      <c r="B110" s="123"/>
      <c r="C110" s="123"/>
      <c r="D110" s="123"/>
      <c r="E110" s="123"/>
      <c r="F110" s="123"/>
      <c r="G110" s="123"/>
      <c r="H110" s="17"/>
      <c r="I110" s="540" t="str">
        <f>I101</f>
        <v>Uф, B (при Iф = 1A / 0°)</v>
      </c>
      <c r="J110" s="559" t="s">
        <v>56</v>
      </c>
      <c r="K110" s="576" t="str">
        <f>CONCATENATE(TEXT(ABS(K45*IF(E53=1,E49,1)),"0,00")," / ",TEXT(IF(OR(P45="",P45=0),N45,P45),"0,0"),CHAR(176))</f>
        <v>2,00 / 333,5°</v>
      </c>
      <c r="L110" s="519" t="str">
        <f>CONCATENATE(TEXT(ABS(K45*IF(E53=1,E49,1)),"0,00")," / ",TEXT(IF(OR(Q45="",Q45=0),N45,Q45),"0,0"),CHAR(176))</f>
        <v>2,00 / 333,5°</v>
      </c>
      <c r="M110" s="521" t="str">
        <f>CONCATENATE(TEXT(ABS(K45*IF(E53=1,E49,1)),"0,00")," / ",TEXT(IF(OR(R45="",R45=0),N45,R45),"0,0"),CHAR(176))</f>
        <v>2,00 / 333,5°</v>
      </c>
      <c r="N110" s="17"/>
      <c r="O110" s="17"/>
      <c r="P110" s="17"/>
      <c r="Q110" s="17"/>
      <c r="R110" s="17"/>
      <c r="S110" s="122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</row>
    <row r="111" spans="1:37" x14ac:dyDescent="0.25">
      <c r="A111" s="123"/>
      <c r="B111" s="123"/>
      <c r="C111" s="123"/>
      <c r="D111" s="123"/>
      <c r="E111" s="123"/>
      <c r="F111" s="123"/>
      <c r="G111" s="123"/>
      <c r="H111" s="17"/>
      <c r="I111" s="541" t="s">
        <v>460</v>
      </c>
      <c r="J111" s="557">
        <f>E23</f>
        <v>115</v>
      </c>
      <c r="K111" s="574">
        <f t="shared" ref="K111:M112" si="9">K78</f>
        <v>114.99999999999999</v>
      </c>
      <c r="L111" s="534">
        <f t="shared" si="9"/>
        <v>114.99999999999999</v>
      </c>
      <c r="M111" s="575">
        <f t="shared" si="9"/>
        <v>114.99999999999999</v>
      </c>
      <c r="N111" s="17"/>
      <c r="O111" s="17"/>
      <c r="P111" s="17"/>
      <c r="Q111" s="17"/>
      <c r="R111" s="17"/>
      <c r="S111" s="122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</row>
    <row r="112" spans="1:37" ht="15.75" x14ac:dyDescent="0.25">
      <c r="A112" s="123"/>
      <c r="B112" s="123"/>
      <c r="C112" s="123"/>
      <c r="D112" s="123"/>
      <c r="E112" s="123"/>
      <c r="F112" s="123"/>
      <c r="G112" s="123"/>
      <c r="H112" s="17"/>
      <c r="I112" s="526" t="s">
        <v>463</v>
      </c>
      <c r="J112" s="554" t="s">
        <v>456</v>
      </c>
      <c r="K112" s="569">
        <f t="shared" si="9"/>
        <v>0</v>
      </c>
      <c r="L112" s="531">
        <f t="shared" si="9"/>
        <v>0</v>
      </c>
      <c r="M112" s="570">
        <f t="shared" si="9"/>
        <v>0</v>
      </c>
      <c r="N112" s="17"/>
      <c r="O112" s="17"/>
      <c r="P112" s="17"/>
      <c r="Q112" s="17"/>
      <c r="R112" s="17"/>
      <c r="S112" s="122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</row>
    <row r="113" spans="1:37" x14ac:dyDescent="0.25">
      <c r="A113" s="123"/>
      <c r="B113" s="123"/>
      <c r="C113" s="123"/>
      <c r="D113" s="123"/>
      <c r="E113" s="123"/>
      <c r="F113" s="123"/>
      <c r="G113" s="123"/>
      <c r="H113" s="17"/>
      <c r="I113" s="542" t="str">
        <f>I101</f>
        <v>Uф, B (при Iф = 1A / 0°)</v>
      </c>
      <c r="J113" s="560" t="s">
        <v>56</v>
      </c>
      <c r="K113" s="577" t="str">
        <f>CONCATENATE(TEXT(ABS(K46*IF(E53=1,E49,1)),"0,00")," / ",TEXT(IF(OR(P46="",P46=0),N46,P46),"0,0"),CHAR(176))</f>
        <v>3,60 / 108,8°</v>
      </c>
      <c r="L113" s="498" t="str">
        <f>CONCATENATE(TEXT(ABS(K46*IF(E53=1,E49,1)),"0,00")," / ",TEXT(IF(OR(Q46="",Q46=0),N46,Q46),"0,0"),CHAR(176))</f>
        <v>3,60 / 108,8°</v>
      </c>
      <c r="M113" s="499" t="str">
        <f>CONCATENATE(TEXT(ABS(K46*IF(E53=1,E49,1)),"0,00")," / ",TEXT(IF(OR(R46="",R46=0),N46,R46),"0,0"),CHAR(176))</f>
        <v>3,60 / 108,8°</v>
      </c>
      <c r="N113" s="17"/>
      <c r="O113" s="17"/>
      <c r="P113" s="17"/>
      <c r="Q113" s="17"/>
      <c r="R113" s="17"/>
      <c r="S113" s="122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</row>
    <row r="114" spans="1:37" x14ac:dyDescent="0.25">
      <c r="A114" s="123"/>
      <c r="B114" s="123"/>
      <c r="C114" s="123"/>
      <c r="D114" s="123"/>
      <c r="E114" s="123"/>
      <c r="F114" s="123"/>
      <c r="G114" s="123"/>
      <c r="H114" s="17"/>
      <c r="I114" s="541" t="s">
        <v>464</v>
      </c>
      <c r="J114" s="557">
        <f>IF(K55="-","-",E24)</f>
        <v>-12</v>
      </c>
      <c r="K114" s="574">
        <f>IF(K55="-","-",K80)</f>
        <v>-12.000000000000036</v>
      </c>
      <c r="L114" s="534">
        <f>IF(K55="-","-",L80)</f>
        <v>-12.000000000000036</v>
      </c>
      <c r="M114" s="575">
        <f>IF(K55="-","-",M80)</f>
        <v>-12.000000000000036</v>
      </c>
      <c r="N114" s="17"/>
      <c r="O114" s="17"/>
      <c r="P114" s="17"/>
      <c r="Q114" s="17"/>
      <c r="R114" s="17"/>
      <c r="S114" s="122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</row>
    <row r="115" spans="1:37" ht="15.75" x14ac:dyDescent="0.25">
      <c r="A115" s="123"/>
      <c r="B115" s="123"/>
      <c r="C115" s="123"/>
      <c r="D115" s="123"/>
      <c r="E115" s="123"/>
      <c r="F115" s="123"/>
      <c r="G115" s="123"/>
      <c r="H115" s="17"/>
      <c r="I115" s="526" t="s">
        <v>465</v>
      </c>
      <c r="J115" s="554" t="str">
        <f>IF(K55="-","-","&lt; 5")</f>
        <v>&lt; 5</v>
      </c>
      <c r="K115" s="569">
        <f>IF(K55="-","-",K81)</f>
        <v>-3.5527136788005009E-14</v>
      </c>
      <c r="L115" s="531">
        <f>IF(K55="-","-",L81)</f>
        <v>-3.5527136788005009E-14</v>
      </c>
      <c r="M115" s="570">
        <f>IF(K55="-","-",M81)</f>
        <v>-3.5527136788005009E-14</v>
      </c>
      <c r="N115" s="17"/>
      <c r="O115" s="17"/>
      <c r="P115" s="17"/>
      <c r="Q115" s="17"/>
      <c r="R115" s="17"/>
      <c r="S115" s="122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</row>
    <row r="116" spans="1:37" ht="25.5" x14ac:dyDescent="0.25">
      <c r="A116" s="123"/>
      <c r="B116" s="123"/>
      <c r="C116" s="123"/>
      <c r="D116" s="123"/>
      <c r="E116" s="123"/>
      <c r="F116" s="123"/>
      <c r="G116" s="123"/>
      <c r="H116" s="17"/>
      <c r="I116" s="540" t="str">
        <f>I101</f>
        <v>Uф, B (при Iф = 1A / 0°)</v>
      </c>
      <c r="J116" s="559" t="s">
        <v>56</v>
      </c>
      <c r="K116" s="576" t="str">
        <f>IF(K55="-","-",CONCATENATE(TEXT(ABS(IF(OR(P55="",P55=0),N55,P55)*IF(E53=1,E49,1)),"0,00")," / ",TEXT(L55,"0,0"),CHAR(176),CHAR(10),TEXT(ABS(IF(OR(P56="",P56=0),N56,P56)*IF(E53=1,E49,1)),"0,00")," / ",TEXT(L56,"0,0"),CHAR(176)))</f>
        <v>6,72 / 58,0°
6,47 / 75,0°</v>
      </c>
      <c r="L116" s="519" t="str">
        <f>IF(K55="-","-",CONCATENATE(TEXT(ABS(IF(OR(Q55="",Q55=0),N55,Q55)*IF(E53=1,E49,1)),"0,00")," / ",TEXT(L55,"0,0"),CHAR(176),CHAR(10),TEXT(ABS(IF(OR(Q56="",Q56=0),N56,Q56)*IF(E53=1,E49,1)),"0,00")," / ",TEXT(L56,"0,0"),CHAR(176)))</f>
        <v>6,72 / 58,0°
6,47 / 75,0°</v>
      </c>
      <c r="M116" s="521" t="str">
        <f>IF(K55="-","-",CONCATENATE(TEXT(ABS(IF(OR(R55="",R55=0),N55,R55)*IF(E53=1,E49,1)),"0,00")," / ",TEXT(L55,"0,0"),CHAR(176),CHAR(10),TEXT(ABS(IF(OR(R56="",R56=0),N56,R56)*IF(E53=1,E49,1)),"0,00")," / ",TEXT(L56,"0,0"),CHAR(176)))</f>
        <v>6,72 / 58,0°
6,47 / 75,0°</v>
      </c>
      <c r="N116" s="17"/>
      <c r="O116" s="17"/>
      <c r="P116" s="17"/>
      <c r="Q116" s="17"/>
      <c r="R116" s="17"/>
      <c r="S116" s="122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</row>
    <row r="117" spans="1:37" x14ac:dyDescent="0.25">
      <c r="A117" s="123"/>
      <c r="B117" s="123"/>
      <c r="C117" s="123"/>
      <c r="D117" s="123"/>
      <c r="E117" s="123"/>
      <c r="F117" s="123"/>
      <c r="G117" s="123"/>
      <c r="H117" s="17"/>
      <c r="I117" s="543" t="s">
        <v>130</v>
      </c>
      <c r="J117" s="558">
        <f>IF(K50="-","-",E26)</f>
        <v>1.2</v>
      </c>
      <c r="K117" s="578">
        <f t="shared" ref="K117:M118" si="10">K82</f>
        <v>1.2</v>
      </c>
      <c r="L117" s="537">
        <f t="shared" si="10"/>
        <v>1.2</v>
      </c>
      <c r="M117" s="579">
        <f t="shared" si="10"/>
        <v>1.2</v>
      </c>
      <c r="N117" s="17"/>
      <c r="O117" s="17"/>
      <c r="P117" s="17"/>
      <c r="Q117" s="17"/>
      <c r="R117" s="17"/>
      <c r="S117" s="122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</row>
    <row r="118" spans="1:37" x14ac:dyDescent="0.25">
      <c r="A118" s="123"/>
      <c r="B118" s="123"/>
      <c r="C118" s="123"/>
      <c r="D118" s="123"/>
      <c r="E118" s="123"/>
      <c r="F118" s="123"/>
      <c r="G118" s="123"/>
      <c r="H118" s="17"/>
      <c r="I118" s="526" t="s">
        <v>123</v>
      </c>
      <c r="J118" s="554" t="str">
        <f>IF(K50="-","-","&lt; 5")</f>
        <v>&lt; 5</v>
      </c>
      <c r="K118" s="569">
        <f t="shared" si="10"/>
        <v>0</v>
      </c>
      <c r="L118" s="531">
        <f t="shared" si="10"/>
        <v>0</v>
      </c>
      <c r="M118" s="570">
        <f t="shared" si="10"/>
        <v>0</v>
      </c>
      <c r="N118" s="17"/>
      <c r="O118" s="17"/>
      <c r="P118" s="17"/>
      <c r="Q118" s="17"/>
      <c r="R118" s="17"/>
      <c r="S118" s="122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</row>
    <row r="119" spans="1:37" x14ac:dyDescent="0.25">
      <c r="A119" s="123"/>
      <c r="B119" s="123"/>
      <c r="C119" s="123"/>
      <c r="D119" s="123"/>
      <c r="E119" s="123"/>
      <c r="F119" s="123"/>
      <c r="G119" s="123"/>
      <c r="H119" s="17"/>
      <c r="I119" s="540" t="str">
        <f>I101</f>
        <v>Uф, B (при Iф = 1A / 0°)</v>
      </c>
      <c r="J119" s="556" t="s">
        <v>56</v>
      </c>
      <c r="K119" s="571" t="str">
        <f>IF(K50="-","-",CONCATENATE(TEXT(ABS(IF(OR(P50="",P50=0),N50,P50)*IF(E53=1,E49,1)),"0,00")," / ",TEXT(L50,"0,0"),CHAR(176)))</f>
        <v>1,38 / 0,0°</v>
      </c>
      <c r="L119" s="518" t="str">
        <f>IF(K50="-","-",CONCATENATE(TEXT(ABS(IF(OR(Q50="",Q50=0),N50,Q50)*IF(E53=1,E49,1)),"0,00")," / ",TEXT(L50,"0,0"),CHAR(176)))</f>
        <v>1,38 / 0,0°</v>
      </c>
      <c r="M119" s="520" t="str">
        <f>IF(K50="-","-",CONCATENATE(TEXT(ABS(IF(OR(R50="",R50=0),N50,R50)*IF(E53=1,E49,1)),"0,00")," / ",TEXT(L50,"0,0"),CHAR(176)))</f>
        <v>1,38 / 0,0°</v>
      </c>
      <c r="N119" s="17"/>
      <c r="O119" s="17"/>
      <c r="P119" s="17"/>
      <c r="Q119" s="17"/>
      <c r="R119" s="17"/>
      <c r="S119" s="122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</row>
    <row r="120" spans="1:37" x14ac:dyDescent="0.25">
      <c r="A120" s="123"/>
      <c r="B120" s="123"/>
      <c r="C120" s="123"/>
      <c r="D120" s="123"/>
      <c r="E120" s="123"/>
      <c r="F120" s="123"/>
      <c r="G120" s="123"/>
      <c r="H120" s="17"/>
      <c r="I120" s="543" t="s">
        <v>468</v>
      </c>
      <c r="J120" s="557">
        <f>IF(K51="-","-",E27)</f>
        <v>10</v>
      </c>
      <c r="K120" s="580">
        <f t="shared" ref="K120:M121" si="11">K84</f>
        <v>10</v>
      </c>
      <c r="L120" s="538">
        <f t="shared" si="11"/>
        <v>10</v>
      </c>
      <c r="M120" s="581">
        <f t="shared" si="11"/>
        <v>10</v>
      </c>
      <c r="N120" s="17"/>
      <c r="O120" s="17"/>
      <c r="P120" s="17"/>
      <c r="Q120" s="17"/>
      <c r="R120" s="17"/>
      <c r="S120" s="122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</row>
    <row r="121" spans="1:37" ht="15.75" x14ac:dyDescent="0.25">
      <c r="A121" s="123"/>
      <c r="B121" s="123"/>
      <c r="C121" s="123"/>
      <c r="D121" s="123"/>
      <c r="E121" s="123"/>
      <c r="F121" s="123"/>
      <c r="G121" s="123"/>
      <c r="H121" s="17"/>
      <c r="I121" s="526" t="s">
        <v>467</v>
      </c>
      <c r="J121" s="554" t="str">
        <f>IF(K51="-","-","&lt; 5")</f>
        <v>&lt; 5</v>
      </c>
      <c r="K121" s="569">
        <f t="shared" si="11"/>
        <v>0</v>
      </c>
      <c r="L121" s="531">
        <f t="shared" si="11"/>
        <v>0</v>
      </c>
      <c r="M121" s="570">
        <f t="shared" si="11"/>
        <v>0</v>
      </c>
      <c r="N121" s="17"/>
      <c r="O121" s="17"/>
      <c r="P121" s="17"/>
      <c r="Q121" s="17"/>
      <c r="R121" s="17"/>
      <c r="S121" s="122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</row>
    <row r="122" spans="1:37" ht="15.75" thickBot="1" x14ac:dyDescent="0.3">
      <c r="A122" s="123"/>
      <c r="B122" s="123"/>
      <c r="C122" s="123"/>
      <c r="D122" s="123"/>
      <c r="E122" s="123"/>
      <c r="F122" s="123"/>
      <c r="G122" s="123"/>
      <c r="H122" s="17"/>
      <c r="I122" s="524" t="str">
        <f>I101</f>
        <v>Uф, B (при Iф = 1A / 0°)</v>
      </c>
      <c r="J122" s="561" t="s">
        <v>56</v>
      </c>
      <c r="K122" s="582" t="str">
        <f>IF(K50="-","-",CONCATENATE(TEXT(ABS(K51*IF(E53=1,E49,1)),"0,00")," / ",TEXT(IF(OR(P51="",P51=0),N51,P51),"0,0"),CHAR(176)))</f>
        <v>2,20 / 13,6°</v>
      </c>
      <c r="L122" s="514" t="str">
        <f>IF(K50="-","-",CONCATENATE(TEXT(ABS(K51*IF(E53=1,E49,1)),"0,00")," / ",TEXT(IF(OR(Q51="",Q51=0),N51,Q51),"0,0"),CHAR(176)))</f>
        <v>2,20 / 13,6°</v>
      </c>
      <c r="M122" s="515" t="str">
        <f>IF(K50="-","-",CONCATENATE(TEXT(ABS(K51*IF(E53=1,E49,1)),"0,00")," / ",TEXT(IF(OR(R51="",R51=0),N51,R51),"0,0"),CHAR(176)))</f>
        <v>2,20 / 13,6°</v>
      </c>
      <c r="N122" s="17"/>
      <c r="O122" s="17"/>
      <c r="P122" s="17"/>
      <c r="Q122" s="17"/>
      <c r="R122" s="17"/>
      <c r="S122" s="122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</row>
    <row r="123" spans="1:37" x14ac:dyDescent="0.25">
      <c r="A123" s="123"/>
      <c r="B123" s="123"/>
      <c r="C123" s="123"/>
      <c r="D123" s="123"/>
      <c r="E123" s="123"/>
      <c r="F123" s="123"/>
      <c r="G123" s="123"/>
      <c r="H123" s="17"/>
      <c r="I123" s="17"/>
      <c r="J123" s="17"/>
      <c r="K123" s="135"/>
      <c r="L123" s="135"/>
      <c r="M123" s="135"/>
      <c r="N123" s="17"/>
      <c r="O123" s="17"/>
      <c r="P123" s="17"/>
      <c r="Q123" s="17"/>
      <c r="R123" s="17"/>
      <c r="S123" s="122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</row>
    <row r="124" spans="1:37" x14ac:dyDescent="0.25">
      <c r="A124" s="123"/>
      <c r="B124" s="123"/>
      <c r="C124" s="123"/>
      <c r="D124" s="123"/>
      <c r="E124" s="123"/>
      <c r="F124" s="123"/>
      <c r="G124" s="123"/>
      <c r="H124" s="17"/>
      <c r="I124" s="597" t="s">
        <v>209</v>
      </c>
      <c r="J124" s="17"/>
      <c r="K124" s="135"/>
      <c r="L124" s="135"/>
      <c r="M124" s="135"/>
      <c r="N124" s="17"/>
      <c r="O124" s="17"/>
      <c r="P124" s="17"/>
      <c r="Q124" s="17"/>
      <c r="R124" s="17"/>
      <c r="S124" s="122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</row>
    <row r="125" spans="1:37" ht="15.75" thickBot="1" x14ac:dyDescent="0.3">
      <c r="A125" s="123"/>
      <c r="B125" s="123"/>
      <c r="C125" s="123"/>
      <c r="D125" s="123"/>
      <c r="E125" s="123"/>
      <c r="F125" s="123"/>
      <c r="G125" s="123"/>
      <c r="H125" s="17"/>
      <c r="I125" s="17"/>
      <c r="J125" s="17"/>
      <c r="K125" s="135"/>
      <c r="L125" s="135"/>
      <c r="M125" s="135"/>
      <c r="N125" s="17"/>
      <c r="O125" s="17"/>
      <c r="P125" s="17"/>
      <c r="Q125" s="17"/>
      <c r="R125" s="17"/>
      <c r="S125" s="122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</row>
    <row r="126" spans="1:37" ht="15.75" x14ac:dyDescent="0.25">
      <c r="A126" s="123"/>
      <c r="B126" s="123"/>
      <c r="C126" s="123"/>
      <c r="D126" s="123"/>
      <c r="E126" s="123"/>
      <c r="F126" s="123"/>
      <c r="G126" s="123"/>
      <c r="H126" s="17"/>
      <c r="I126" s="721" t="s">
        <v>0</v>
      </c>
      <c r="J126" s="723" t="s">
        <v>65</v>
      </c>
      <c r="K126" s="550"/>
      <c r="L126" s="502" t="s">
        <v>124</v>
      </c>
      <c r="M126" s="503"/>
      <c r="N126" s="17"/>
      <c r="O126" s="17"/>
      <c r="P126" s="17"/>
      <c r="Q126" s="17"/>
      <c r="R126" s="17"/>
      <c r="S126" s="122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</row>
    <row r="127" spans="1:37" ht="15.75" thickBot="1" x14ac:dyDescent="0.3">
      <c r="A127" s="123"/>
      <c r="B127" s="123"/>
      <c r="C127" s="123"/>
      <c r="D127" s="123"/>
      <c r="E127" s="123"/>
      <c r="F127" s="123"/>
      <c r="G127" s="123"/>
      <c r="H127" s="17"/>
      <c r="I127" s="722"/>
      <c r="J127" s="724"/>
      <c r="K127" s="551" t="s">
        <v>125</v>
      </c>
      <c r="L127" s="504" t="s">
        <v>126</v>
      </c>
      <c r="M127" s="505" t="s">
        <v>127</v>
      </c>
      <c r="N127" s="17"/>
      <c r="O127" s="17"/>
      <c r="P127" s="17"/>
      <c r="Q127" s="17"/>
      <c r="R127" s="17"/>
      <c r="S127" s="122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</row>
    <row r="128" spans="1:37" x14ac:dyDescent="0.25">
      <c r="A128" s="123"/>
      <c r="B128" s="123"/>
      <c r="C128" s="123"/>
      <c r="D128" s="123"/>
      <c r="E128" s="123"/>
      <c r="F128" s="123"/>
      <c r="G128" s="123"/>
      <c r="H128" s="17"/>
      <c r="I128" s="548" t="s">
        <v>47</v>
      </c>
      <c r="J128" s="546">
        <f>E18</f>
        <v>4</v>
      </c>
      <c r="K128" s="567">
        <f t="shared" ref="K128:M129" si="12">K91</f>
        <v>4</v>
      </c>
      <c r="L128" s="545">
        <f t="shared" si="12"/>
        <v>4</v>
      </c>
      <c r="M128" s="568">
        <f t="shared" si="12"/>
        <v>4</v>
      </c>
      <c r="N128" s="17"/>
      <c r="O128" s="17"/>
      <c r="P128" s="17"/>
      <c r="Q128" s="17"/>
      <c r="R128" s="17"/>
      <c r="S128" s="122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</row>
    <row r="129" spans="1:37" x14ac:dyDescent="0.25">
      <c r="A129" s="123"/>
      <c r="B129" s="123"/>
      <c r="C129" s="123"/>
      <c r="D129" s="123"/>
      <c r="E129" s="123"/>
      <c r="F129" s="123"/>
      <c r="G129" s="123"/>
      <c r="H129" s="17"/>
      <c r="I129" s="491" t="s">
        <v>54</v>
      </c>
      <c r="J129" s="554" t="s">
        <v>457</v>
      </c>
      <c r="K129" s="569">
        <f t="shared" si="12"/>
        <v>0</v>
      </c>
      <c r="L129" s="531">
        <f t="shared" si="12"/>
        <v>0</v>
      </c>
      <c r="M129" s="570">
        <f t="shared" si="12"/>
        <v>0</v>
      </c>
      <c r="N129" s="17"/>
      <c r="O129" s="17"/>
      <c r="P129" s="17"/>
      <c r="Q129" s="17"/>
      <c r="R129" s="17"/>
      <c r="S129" s="122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</row>
    <row r="130" spans="1:37" ht="15.75" thickBot="1" x14ac:dyDescent="0.3">
      <c r="A130" s="123"/>
      <c r="B130" s="123"/>
      <c r="C130" s="123"/>
      <c r="D130" s="123"/>
      <c r="E130" s="123"/>
      <c r="F130" s="123"/>
      <c r="G130" s="123"/>
      <c r="H130" s="17"/>
      <c r="I130" s="549" t="str">
        <f>CONCATENATE("U, B (при I = ",L58," A / 0",CHAR(176),")")</f>
        <v>U, B (при I = 0,1 A / 0°)</v>
      </c>
      <c r="J130" s="555" t="s">
        <v>56</v>
      </c>
      <c r="K130" s="583" t="str">
        <f>CONCATENATE(TEXT(ABS(IF(OR(P60="",P60=0),N60,P60)*IF(E53=1,L58,1)),"0,00")," / ",TEXT(L60,"0,0"),CHAR(176))</f>
        <v>0,63 / 90,0°</v>
      </c>
      <c r="L130" s="510" t="str">
        <f>CONCATENATE(TEXT(ABS(IF(OR(Q60="",Q60=0),N60,Q60)*IF(E53=1,L58,1)),"0,00")," / ",TEXT(L60,"0,0"),CHAR(176))</f>
        <v>0,63 / 90,0°</v>
      </c>
      <c r="M130" s="511" t="str">
        <f>CONCATENATE(TEXT(ABS(IF(OR(R60="",R60=0),N60,R60)*IF(E53=1,L58,1)),"0,00")," / ",TEXT(L60,"0,0"),CHAR(176))</f>
        <v>0,63 / 90,0°</v>
      </c>
      <c r="N130" s="17"/>
      <c r="O130" s="17"/>
      <c r="P130" s="17"/>
      <c r="Q130" s="17"/>
      <c r="R130" s="17"/>
      <c r="S130" s="122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</row>
    <row r="131" spans="1:37" x14ac:dyDescent="0.25">
      <c r="A131" s="123"/>
      <c r="B131" s="123"/>
      <c r="C131" s="123"/>
      <c r="D131" s="123"/>
      <c r="E131" s="123"/>
      <c r="F131" s="123"/>
      <c r="G131" s="123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22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</row>
    <row r="132" spans="1:37" x14ac:dyDescent="0.25">
      <c r="A132" s="123"/>
      <c r="B132" s="123"/>
      <c r="C132" s="123"/>
      <c r="D132" s="123"/>
      <c r="E132" s="123"/>
      <c r="F132" s="123"/>
      <c r="G132" s="123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22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</row>
    <row r="133" spans="1:37" x14ac:dyDescent="0.25">
      <c r="A133" s="123"/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</row>
    <row r="134" spans="1:37" x14ac:dyDescent="0.25">
      <c r="A134" s="123"/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</row>
    <row r="135" spans="1:37" x14ac:dyDescent="0.25">
      <c r="A135" s="123"/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</row>
  </sheetData>
  <sheetProtection sheet="1" objects="1" scenarios="1" selectLockedCells="1"/>
  <mergeCells count="30">
    <mergeCell ref="V28:W29"/>
    <mergeCell ref="K97:M97"/>
    <mergeCell ref="I74:J74"/>
    <mergeCell ref="I83:J83"/>
    <mergeCell ref="I82:J82"/>
    <mergeCell ref="J97:J98"/>
    <mergeCell ref="I75:J75"/>
    <mergeCell ref="I68:J69"/>
    <mergeCell ref="I126:I127"/>
    <mergeCell ref="J126:J127"/>
    <mergeCell ref="I71:J71"/>
    <mergeCell ref="I84:J84"/>
    <mergeCell ref="I85:J85"/>
    <mergeCell ref="I72:J72"/>
    <mergeCell ref="I89:J90"/>
    <mergeCell ref="I91:J91"/>
    <mergeCell ref="I76:J76"/>
    <mergeCell ref="I77:J77"/>
    <mergeCell ref="I97:I98"/>
    <mergeCell ref="A1:B3"/>
    <mergeCell ref="I92:J92"/>
    <mergeCell ref="C1:N3"/>
    <mergeCell ref="I78:J78"/>
    <mergeCell ref="I79:J79"/>
    <mergeCell ref="I80:J80"/>
    <mergeCell ref="I81:J81"/>
    <mergeCell ref="I65:I66"/>
    <mergeCell ref="K68:M68"/>
    <mergeCell ref="I70:J70"/>
    <mergeCell ref="I73:J73"/>
  </mergeCells>
  <hyperlinks>
    <hyperlink ref="A1:B3" location="Содержание!D32" display=")"/>
  </hyperlinks>
  <pageMargins left="0.7" right="0.7" top="0.75" bottom="0.75" header="0.3" footer="0.3"/>
  <pageSetup paperSize="9" orientation="portrait" horizontalDpi="300" r:id="rId1"/>
  <drawing r:id="rId2"/>
  <legacyDrawing r:id="rId3"/>
  <oleObjects>
    <mc:AlternateContent xmlns:mc="http://schemas.openxmlformats.org/markup-compatibility/2006">
      <mc:Choice Requires="x14">
        <oleObject progId="Visio.Drawing.15" shapeId="7520904" r:id="rId4">
          <objectPr defaultSize="0" r:id="rId5">
            <anchor moveWithCells="1">
              <from>
                <xdr:col>1</xdr:col>
                <xdr:colOff>0</xdr:colOff>
                <xdr:row>66</xdr:row>
                <xdr:rowOff>0</xdr:rowOff>
              </from>
              <to>
                <xdr:col>4</xdr:col>
                <xdr:colOff>390525</xdr:colOff>
                <xdr:row>90</xdr:row>
                <xdr:rowOff>133350</xdr:rowOff>
              </to>
            </anchor>
          </objectPr>
        </oleObject>
      </mc:Choice>
      <mc:Fallback>
        <oleObject progId="Visio.Drawing.15" shapeId="7520904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/>
  <dimension ref="A1:AN106"/>
  <sheetViews>
    <sheetView zoomScale="80" zoomScaleNormal="80" workbookViewId="0">
      <pane ySplit="3" topLeftCell="A4" activePane="bottomLeft" state="frozen"/>
      <selection pane="bottomLeft" activeCell="E18" sqref="E18"/>
    </sheetView>
  </sheetViews>
  <sheetFormatPr defaultRowHeight="15" x14ac:dyDescent="0.25"/>
  <cols>
    <col min="1" max="1" width="4.7109375" customWidth="1"/>
    <col min="2" max="2" width="4.28515625" customWidth="1"/>
    <col min="3" max="3" width="47.85546875" customWidth="1"/>
    <col min="4" max="4" width="14.5703125" bestFit="1" customWidth="1"/>
    <col min="5" max="5" width="13.85546875" customWidth="1"/>
    <col min="6" max="7" width="4.42578125" customWidth="1"/>
    <col min="8" max="8" width="4.140625" customWidth="1"/>
    <col min="9" max="9" width="33.42578125" customWidth="1"/>
    <col min="10" max="10" width="10.7109375" customWidth="1"/>
    <col min="11" max="11" width="14.5703125" customWidth="1"/>
    <col min="12" max="12" width="13" customWidth="1"/>
    <col min="13" max="13" width="14.5703125" customWidth="1"/>
    <col min="14" max="14" width="11.7109375" bestFit="1" customWidth="1"/>
    <col min="15" max="15" width="9" customWidth="1"/>
    <col min="16" max="16" width="10.28515625" bestFit="1" customWidth="1"/>
    <col min="17" max="17" width="10.7109375" customWidth="1"/>
    <col min="18" max="18" width="11" customWidth="1"/>
    <col min="19" max="21" width="4.5703125" customWidth="1"/>
    <col min="22" max="22" width="10.42578125" customWidth="1"/>
    <col min="23" max="23" width="10.28515625" customWidth="1"/>
    <col min="25" max="25" width="10.5703125" customWidth="1"/>
    <col min="26" max="26" width="10" customWidth="1"/>
    <col min="31" max="31" width="9.140625" customWidth="1"/>
    <col min="39" max="39" width="4.5703125" customWidth="1"/>
  </cols>
  <sheetData>
    <row r="1" spans="1:40" ht="15" customHeight="1" x14ac:dyDescent="0.25">
      <c r="A1" s="727" t="s">
        <v>427</v>
      </c>
      <c r="B1" s="727"/>
      <c r="C1" s="736" t="s">
        <v>240</v>
      </c>
      <c r="D1" s="736"/>
      <c r="E1" s="736"/>
      <c r="F1" s="736"/>
      <c r="G1" s="736"/>
      <c r="H1" s="736"/>
      <c r="I1" s="736"/>
      <c r="J1" s="736"/>
      <c r="K1" s="736"/>
      <c r="L1" s="736"/>
      <c r="M1" s="736"/>
      <c r="N1" s="736"/>
      <c r="O1" s="736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</row>
    <row r="2" spans="1:40" ht="15" customHeight="1" x14ac:dyDescent="0.25">
      <c r="A2" s="727"/>
      <c r="B2" s="727"/>
      <c r="C2" s="736"/>
      <c r="D2" s="736"/>
      <c r="E2" s="736"/>
      <c r="F2" s="736"/>
      <c r="G2" s="736"/>
      <c r="H2" s="736"/>
      <c r="I2" s="736"/>
      <c r="J2" s="736"/>
      <c r="K2" s="736"/>
      <c r="L2" s="736"/>
      <c r="M2" s="736"/>
      <c r="N2" s="736"/>
      <c r="O2" s="736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</row>
    <row r="3" spans="1:40" ht="15" customHeight="1" x14ac:dyDescent="0.25">
      <c r="A3" s="727"/>
      <c r="B3" s="727"/>
      <c r="C3" s="736"/>
      <c r="D3" s="736"/>
      <c r="E3" s="736"/>
      <c r="F3" s="736"/>
      <c r="G3" s="736"/>
      <c r="H3" s="736"/>
      <c r="I3" s="736"/>
      <c r="J3" s="736"/>
      <c r="K3" s="736"/>
      <c r="L3" s="736"/>
      <c r="M3" s="736"/>
      <c r="N3" s="736"/>
      <c r="O3" s="736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</row>
    <row r="4" spans="1:40" x14ac:dyDescent="0.25">
      <c r="A4" s="633"/>
      <c r="B4" s="633"/>
      <c r="C4" s="633"/>
      <c r="D4" s="633"/>
      <c r="E4" s="633"/>
      <c r="F4" s="634"/>
      <c r="G4" s="633"/>
      <c r="H4" s="635"/>
      <c r="I4" s="633"/>
      <c r="J4" s="633"/>
      <c r="K4" s="633"/>
      <c r="L4" s="633"/>
      <c r="M4" s="633"/>
      <c r="N4" s="633"/>
      <c r="O4" s="633"/>
      <c r="P4" s="633"/>
      <c r="Q4" s="633"/>
      <c r="R4" s="633"/>
      <c r="S4" s="634"/>
      <c r="T4" s="635"/>
      <c r="U4" s="635"/>
      <c r="V4" s="633"/>
      <c r="W4" s="633"/>
      <c r="X4" s="633"/>
      <c r="Y4" s="633"/>
      <c r="Z4" s="633"/>
      <c r="AA4" s="633"/>
      <c r="AB4" s="633"/>
      <c r="AC4" s="633"/>
      <c r="AD4" s="633"/>
      <c r="AE4" s="633"/>
      <c r="AF4" s="633"/>
      <c r="AG4" s="633"/>
      <c r="AH4" s="633"/>
      <c r="AI4" s="633"/>
      <c r="AJ4" s="634"/>
      <c r="AK4" s="123"/>
      <c r="AL4" s="123"/>
      <c r="AM4" s="123"/>
      <c r="AN4" s="123"/>
    </row>
    <row r="5" spans="1:40" x14ac:dyDescent="0.25">
      <c r="A5" s="633"/>
      <c r="B5" s="636" t="s">
        <v>507</v>
      </c>
      <c r="C5" s="636"/>
      <c r="D5" s="633"/>
      <c r="E5" s="633"/>
      <c r="F5" s="634"/>
      <c r="G5" s="633"/>
      <c r="H5" s="635"/>
      <c r="I5" s="633"/>
      <c r="J5" s="633"/>
      <c r="K5" s="633"/>
      <c r="L5" s="633"/>
      <c r="M5" s="633"/>
      <c r="N5" s="633"/>
      <c r="O5" s="633"/>
      <c r="P5" s="633"/>
      <c r="Q5" s="633"/>
      <c r="R5" s="633"/>
      <c r="S5" s="634"/>
      <c r="T5" s="635"/>
      <c r="U5" s="635"/>
      <c r="V5" s="633"/>
      <c r="W5" s="633"/>
      <c r="X5" s="633"/>
      <c r="Y5" s="633"/>
      <c r="Z5" s="633"/>
      <c r="AA5" s="633"/>
      <c r="AB5" s="633"/>
      <c r="AC5" s="633"/>
      <c r="AD5" s="633"/>
      <c r="AE5" s="633"/>
      <c r="AF5" s="633"/>
      <c r="AG5" s="633"/>
      <c r="AH5" s="633"/>
      <c r="AI5" s="633"/>
      <c r="AJ5" s="634"/>
      <c r="AK5" s="123"/>
      <c r="AL5" s="123"/>
      <c r="AM5" s="123"/>
      <c r="AN5" s="123"/>
    </row>
    <row r="6" spans="1:40" x14ac:dyDescent="0.25">
      <c r="A6" s="633"/>
      <c r="B6" s="636" t="s">
        <v>481</v>
      </c>
      <c r="C6" s="636"/>
      <c r="D6" s="633"/>
      <c r="E6" s="633"/>
      <c r="F6" s="634"/>
      <c r="G6" s="633"/>
      <c r="H6" s="635"/>
      <c r="I6" s="633"/>
      <c r="J6" s="633"/>
      <c r="K6" s="633"/>
      <c r="L6" s="633"/>
      <c r="M6" s="633"/>
      <c r="N6" s="633"/>
      <c r="O6" s="633"/>
      <c r="P6" s="633"/>
      <c r="Q6" s="633"/>
      <c r="R6" s="633"/>
      <c r="S6" s="634"/>
      <c r="T6" s="635"/>
      <c r="U6" s="635"/>
      <c r="V6" s="633"/>
      <c r="W6" s="633"/>
      <c r="X6" s="633"/>
      <c r="Y6" s="633"/>
      <c r="Z6" s="633"/>
      <c r="AA6" s="633"/>
      <c r="AB6" s="633"/>
      <c r="AC6" s="633"/>
      <c r="AD6" s="633"/>
      <c r="AE6" s="633"/>
      <c r="AF6" s="633"/>
      <c r="AG6" s="633"/>
      <c r="AH6" s="633"/>
      <c r="AI6" s="633"/>
      <c r="AJ6" s="634"/>
      <c r="AK6" s="123"/>
      <c r="AL6" s="123"/>
      <c r="AM6" s="123"/>
      <c r="AN6" s="123"/>
    </row>
    <row r="7" spans="1:40" x14ac:dyDescent="0.25">
      <c r="A7" s="633"/>
      <c r="B7" s="636"/>
      <c r="C7" s="636" t="s">
        <v>485</v>
      </c>
      <c r="D7" s="633"/>
      <c r="E7" s="633"/>
      <c r="F7" s="634"/>
      <c r="G7" s="633"/>
      <c r="H7" s="635"/>
      <c r="I7" s="633"/>
      <c r="J7" s="633"/>
      <c r="K7" s="633"/>
      <c r="L7" s="633"/>
      <c r="M7" s="633"/>
      <c r="N7" s="633"/>
      <c r="O7" s="633"/>
      <c r="P7" s="633"/>
      <c r="Q7" s="633"/>
      <c r="R7" s="633"/>
      <c r="S7" s="634"/>
      <c r="T7" s="635"/>
      <c r="U7" s="635"/>
      <c r="V7" s="633"/>
      <c r="W7" s="633"/>
      <c r="X7" s="633"/>
      <c r="Y7" s="633"/>
      <c r="Z7" s="633"/>
      <c r="AA7" s="633"/>
      <c r="AB7" s="633"/>
      <c r="AC7" s="633"/>
      <c r="AD7" s="633"/>
      <c r="AE7" s="633"/>
      <c r="AF7" s="633"/>
      <c r="AG7" s="633"/>
      <c r="AH7" s="633"/>
      <c r="AI7" s="633"/>
      <c r="AJ7" s="634"/>
      <c r="AK7" s="123"/>
      <c r="AL7" s="123"/>
      <c r="AM7" s="123"/>
      <c r="AN7" s="123"/>
    </row>
    <row r="8" spans="1:40" x14ac:dyDescent="0.25">
      <c r="A8" s="633"/>
      <c r="B8" s="636"/>
      <c r="C8" s="636" t="s">
        <v>482</v>
      </c>
      <c r="D8" s="633"/>
      <c r="E8" s="633"/>
      <c r="F8" s="634"/>
      <c r="G8" s="633"/>
      <c r="H8" s="635"/>
      <c r="I8" s="633"/>
      <c r="J8" s="633"/>
      <c r="K8" s="633"/>
      <c r="L8" s="633"/>
      <c r="M8" s="633"/>
      <c r="N8" s="633"/>
      <c r="O8" s="633"/>
      <c r="P8" s="633"/>
      <c r="Q8" s="633"/>
      <c r="R8" s="633"/>
      <c r="S8" s="634"/>
      <c r="T8" s="635"/>
      <c r="U8" s="635"/>
      <c r="V8" s="633"/>
      <c r="W8" s="633"/>
      <c r="X8" s="633"/>
      <c r="Y8" s="633"/>
      <c r="Z8" s="633"/>
      <c r="AA8" s="633"/>
      <c r="AB8" s="633"/>
      <c r="AC8" s="633"/>
      <c r="AD8" s="633"/>
      <c r="AE8" s="633"/>
      <c r="AF8" s="633"/>
      <c r="AG8" s="633"/>
      <c r="AH8" s="633"/>
      <c r="AI8" s="633"/>
      <c r="AJ8" s="634"/>
      <c r="AK8" s="123"/>
      <c r="AL8" s="123"/>
      <c r="AM8" s="123"/>
      <c r="AN8" s="123"/>
    </row>
    <row r="9" spans="1:40" x14ac:dyDescent="0.25">
      <c r="A9" s="633"/>
      <c r="B9" s="636"/>
      <c r="C9" s="636" t="s">
        <v>483</v>
      </c>
      <c r="D9" s="633"/>
      <c r="E9" s="633"/>
      <c r="F9" s="634"/>
      <c r="G9" s="633"/>
      <c r="H9" s="635"/>
      <c r="I9" s="633"/>
      <c r="J9" s="633"/>
      <c r="K9" s="633"/>
      <c r="L9" s="633"/>
      <c r="M9" s="633"/>
      <c r="N9" s="633"/>
      <c r="O9" s="633"/>
      <c r="P9" s="633"/>
      <c r="Q9" s="633"/>
      <c r="R9" s="633"/>
      <c r="S9" s="634"/>
      <c r="T9" s="635"/>
      <c r="U9" s="635"/>
      <c r="V9" s="633"/>
      <c r="W9" s="633"/>
      <c r="X9" s="633"/>
      <c r="Y9" s="633"/>
      <c r="Z9" s="633"/>
      <c r="AA9" s="633"/>
      <c r="AB9" s="633"/>
      <c r="AC9" s="633"/>
      <c r="AD9" s="633"/>
      <c r="AE9" s="633"/>
      <c r="AF9" s="633"/>
      <c r="AG9" s="633"/>
      <c r="AH9" s="633"/>
      <c r="AI9" s="633"/>
      <c r="AJ9" s="634"/>
      <c r="AK9" s="123"/>
      <c r="AL9" s="123"/>
      <c r="AM9" s="123"/>
      <c r="AN9" s="123"/>
    </row>
    <row r="10" spans="1:40" x14ac:dyDescent="0.25">
      <c r="A10" s="633"/>
      <c r="B10" s="636"/>
      <c r="C10" s="636" t="s">
        <v>484</v>
      </c>
      <c r="D10" s="633"/>
      <c r="E10" s="633"/>
      <c r="F10" s="634"/>
      <c r="G10" s="633"/>
      <c r="H10" s="635"/>
      <c r="I10" s="633"/>
      <c r="J10" s="633"/>
      <c r="K10" s="633"/>
      <c r="L10" s="633"/>
      <c r="M10" s="633"/>
      <c r="N10" s="633"/>
      <c r="O10" s="633"/>
      <c r="P10" s="633"/>
      <c r="Q10" s="633"/>
      <c r="R10" s="633"/>
      <c r="S10" s="634"/>
      <c r="T10" s="635"/>
      <c r="U10" s="635"/>
      <c r="V10" s="633"/>
      <c r="W10" s="633"/>
      <c r="X10" s="633"/>
      <c r="Y10" s="633"/>
      <c r="Z10" s="633"/>
      <c r="AA10" s="633"/>
      <c r="AB10" s="633"/>
      <c r="AC10" s="633"/>
      <c r="AD10" s="633"/>
      <c r="AE10" s="633"/>
      <c r="AF10" s="633"/>
      <c r="AG10" s="633"/>
      <c r="AH10" s="633"/>
      <c r="AI10" s="633"/>
      <c r="AJ10" s="634"/>
      <c r="AK10" s="123"/>
      <c r="AL10" s="123"/>
      <c r="AM10" s="123"/>
      <c r="AN10" s="123"/>
    </row>
    <row r="11" spans="1:40" x14ac:dyDescent="0.25">
      <c r="A11" s="633"/>
      <c r="B11" s="636" t="s">
        <v>488</v>
      </c>
      <c r="C11" s="636"/>
      <c r="D11" s="633"/>
      <c r="E11" s="633"/>
      <c r="F11" s="634"/>
      <c r="G11" s="633"/>
      <c r="H11" s="635"/>
      <c r="I11" s="633"/>
      <c r="J11" s="633"/>
      <c r="K11" s="633"/>
      <c r="L11" s="633"/>
      <c r="M11" s="633"/>
      <c r="N11" s="633"/>
      <c r="O11" s="633"/>
      <c r="P11" s="633"/>
      <c r="Q11" s="633"/>
      <c r="R11" s="633"/>
      <c r="S11" s="634"/>
      <c r="T11" s="635"/>
      <c r="U11" s="635"/>
      <c r="V11" s="633"/>
      <c r="W11" s="633"/>
      <c r="X11" s="633"/>
      <c r="Y11" s="633"/>
      <c r="Z11" s="633"/>
      <c r="AA11" s="633"/>
      <c r="AB11" s="633"/>
      <c r="AC11" s="633"/>
      <c r="AD11" s="633"/>
      <c r="AE11" s="633"/>
      <c r="AF11" s="633"/>
      <c r="AG11" s="633"/>
      <c r="AH11" s="633"/>
      <c r="AI11" s="633"/>
      <c r="AJ11" s="634"/>
      <c r="AK11" s="123"/>
      <c r="AL11" s="123"/>
      <c r="AM11" s="123"/>
      <c r="AN11" s="123"/>
    </row>
    <row r="12" spans="1:40" x14ac:dyDescent="0.25">
      <c r="A12" s="633"/>
      <c r="B12" s="633"/>
      <c r="C12" s="633"/>
      <c r="D12" s="633"/>
      <c r="E12" s="633"/>
      <c r="F12" s="634"/>
      <c r="G12" s="633"/>
      <c r="H12" s="635"/>
      <c r="I12" s="633"/>
      <c r="J12" s="633"/>
      <c r="K12" s="633"/>
      <c r="L12" s="633"/>
      <c r="M12" s="633"/>
      <c r="N12" s="633"/>
      <c r="O12" s="633"/>
      <c r="P12" s="633"/>
      <c r="Q12" s="633"/>
      <c r="R12" s="633"/>
      <c r="S12" s="634"/>
      <c r="T12" s="635"/>
      <c r="U12" s="635"/>
      <c r="V12" s="633"/>
      <c r="W12" s="633"/>
      <c r="X12" s="633"/>
      <c r="Y12" s="633"/>
      <c r="Z12" s="633"/>
      <c r="AA12" s="633"/>
      <c r="AB12" s="633"/>
      <c r="AC12" s="633"/>
      <c r="AD12" s="633"/>
      <c r="AE12" s="633"/>
      <c r="AF12" s="633"/>
      <c r="AG12" s="633"/>
      <c r="AH12" s="633"/>
      <c r="AI12" s="633"/>
      <c r="AJ12" s="634"/>
      <c r="AK12" s="123"/>
      <c r="AL12" s="123"/>
      <c r="AM12" s="123"/>
      <c r="AN12" s="123"/>
    </row>
    <row r="13" spans="1:40" x14ac:dyDescent="0.25">
      <c r="A13" s="17"/>
      <c r="B13" s="43"/>
      <c r="C13" s="43"/>
      <c r="D13" s="43"/>
      <c r="E13" s="43"/>
      <c r="F13" s="122"/>
      <c r="G13" s="632"/>
      <c r="H13" s="44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122"/>
      <c r="T13" s="109"/>
      <c r="U13" s="44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122"/>
      <c r="AN13" s="123"/>
    </row>
    <row r="14" spans="1:40" ht="18" x14ac:dyDescent="0.25">
      <c r="A14" s="17"/>
      <c r="B14" s="8" t="s">
        <v>82</v>
      </c>
      <c r="C14" s="5"/>
      <c r="D14" s="5"/>
      <c r="E14" s="5"/>
      <c r="F14" s="122"/>
      <c r="G14" s="632"/>
      <c r="H14" s="44"/>
      <c r="I14" s="8" t="s">
        <v>487</v>
      </c>
      <c r="J14" s="4"/>
      <c r="K14" s="4"/>
      <c r="L14" s="4"/>
      <c r="M14" s="4"/>
      <c r="N14" s="4"/>
      <c r="O14" s="4"/>
      <c r="P14" s="4"/>
      <c r="Q14" s="4"/>
      <c r="R14" s="4"/>
      <c r="S14" s="122"/>
      <c r="T14" s="109"/>
      <c r="U14" s="44"/>
      <c r="V14" s="8" t="s">
        <v>160</v>
      </c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22"/>
      <c r="AN14" s="123"/>
    </row>
    <row r="15" spans="1:40" ht="15.75" thickBot="1" x14ac:dyDescent="0.3">
      <c r="A15" s="17"/>
      <c r="B15" s="43"/>
      <c r="C15" s="43"/>
      <c r="D15" s="43"/>
      <c r="E15" s="43"/>
      <c r="F15" s="122"/>
      <c r="G15" s="632"/>
      <c r="H15" s="44"/>
      <c r="I15" s="43"/>
      <c r="J15" s="43"/>
      <c r="K15" s="43"/>
      <c r="L15" s="43"/>
      <c r="M15" s="43"/>
      <c r="N15" s="53"/>
      <c r="O15" s="43"/>
      <c r="P15" s="43"/>
      <c r="Q15" s="43"/>
      <c r="R15" s="43"/>
      <c r="S15" s="122"/>
      <c r="T15" s="109"/>
      <c r="U15" s="44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122"/>
      <c r="AN15" s="123"/>
    </row>
    <row r="16" spans="1:40" ht="16.5" thickBot="1" x14ac:dyDescent="0.3">
      <c r="A16" s="17"/>
      <c r="B16" s="45" t="s">
        <v>62</v>
      </c>
      <c r="C16" s="45" t="s">
        <v>63</v>
      </c>
      <c r="D16" s="45" t="s">
        <v>64</v>
      </c>
      <c r="E16" s="45" t="s">
        <v>65</v>
      </c>
      <c r="F16" s="122"/>
      <c r="G16" s="632"/>
      <c r="H16" s="44"/>
      <c r="I16" s="127" t="s">
        <v>162</v>
      </c>
      <c r="J16" s="17"/>
      <c r="K16" s="17"/>
      <c r="L16" s="17"/>
      <c r="M16" s="17"/>
      <c r="N16" s="17"/>
      <c r="O16" s="17"/>
      <c r="P16" s="17"/>
      <c r="Q16" s="17"/>
      <c r="R16" s="17"/>
      <c r="S16" s="122"/>
      <c r="T16" s="109"/>
      <c r="U16" s="44"/>
      <c r="V16" s="127" t="s">
        <v>449</v>
      </c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122"/>
      <c r="AN16" s="123"/>
    </row>
    <row r="17" spans="1:40" x14ac:dyDescent="0.25">
      <c r="A17" s="17"/>
      <c r="B17" s="43"/>
      <c r="C17" s="43"/>
      <c r="D17" s="43"/>
      <c r="E17" s="43"/>
      <c r="F17" s="122"/>
      <c r="G17" s="632"/>
      <c r="H17" s="44"/>
      <c r="I17" s="44" t="s">
        <v>226</v>
      </c>
      <c r="J17" s="17"/>
      <c r="K17" s="17"/>
      <c r="L17" s="17"/>
      <c r="M17" s="17"/>
      <c r="N17" s="17"/>
      <c r="O17" s="17"/>
      <c r="P17" s="17"/>
      <c r="Q17" s="17"/>
      <c r="R17" s="17"/>
      <c r="S17" s="122"/>
      <c r="T17" s="109"/>
      <c r="U17" s="44"/>
      <c r="V17" s="43" t="s">
        <v>491</v>
      </c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122"/>
      <c r="AN17" s="123"/>
    </row>
    <row r="18" spans="1:40" ht="15.75" thickBot="1" x14ac:dyDescent="0.3">
      <c r="A18" s="17"/>
      <c r="B18" s="46">
        <v>1</v>
      </c>
      <c r="C18" s="47" t="s">
        <v>83</v>
      </c>
      <c r="D18" s="47" t="s">
        <v>86</v>
      </c>
      <c r="E18" s="1">
        <v>4</v>
      </c>
      <c r="F18" s="151" t="str">
        <f>IF(ISNUMBER(E18),"","Err")</f>
        <v/>
      </c>
      <c r="G18" s="644"/>
      <c r="H18" s="44"/>
      <c r="I18" s="44" t="s">
        <v>224</v>
      </c>
      <c r="J18" s="17"/>
      <c r="K18" s="17"/>
      <c r="L18" s="17"/>
      <c r="M18" s="17"/>
      <c r="N18" s="17"/>
      <c r="O18" s="17"/>
      <c r="P18" s="17"/>
      <c r="Q18" s="17"/>
      <c r="R18" s="17"/>
      <c r="S18" s="122"/>
      <c r="T18" s="109"/>
      <c r="U18" s="44"/>
      <c r="V18" s="43" t="s">
        <v>512</v>
      </c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122"/>
      <c r="AN18" s="123"/>
    </row>
    <row r="19" spans="1:40" ht="15.75" thickBot="1" x14ac:dyDescent="0.3">
      <c r="A19" s="17"/>
      <c r="B19" s="46">
        <v>2</v>
      </c>
      <c r="C19" s="47" t="s">
        <v>84</v>
      </c>
      <c r="D19" s="47" t="s">
        <v>87</v>
      </c>
      <c r="E19" s="1">
        <v>2</v>
      </c>
      <c r="F19" s="151" t="str">
        <f>IF(ISNUMBER(E19),"","Err")</f>
        <v/>
      </c>
      <c r="G19" s="644"/>
      <c r="H19" s="44"/>
      <c r="I19" s="640" t="s">
        <v>496</v>
      </c>
      <c r="J19" s="17"/>
      <c r="K19" s="17"/>
      <c r="L19" s="17"/>
      <c r="M19" s="17"/>
      <c r="N19" s="17"/>
      <c r="O19" s="17"/>
      <c r="P19" s="17"/>
      <c r="Q19" s="17"/>
      <c r="R19" s="17"/>
      <c r="S19" s="122"/>
      <c r="T19" s="109"/>
      <c r="U19" s="44"/>
      <c r="V19" s="43" t="s">
        <v>490</v>
      </c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122"/>
      <c r="AN19" s="123"/>
    </row>
    <row r="20" spans="1:40" ht="15.75" thickBot="1" x14ac:dyDescent="0.3">
      <c r="A20" s="17"/>
      <c r="B20" s="46"/>
      <c r="C20" s="47"/>
      <c r="D20" s="47"/>
      <c r="E20" s="120"/>
      <c r="F20" s="122"/>
      <c r="G20" s="632"/>
      <c r="H20" s="44"/>
      <c r="I20" s="44" t="s">
        <v>166</v>
      </c>
      <c r="J20" s="17"/>
      <c r="K20" s="17"/>
      <c r="L20" s="17"/>
      <c r="M20" s="17"/>
      <c r="N20" s="17"/>
      <c r="O20" s="17"/>
      <c r="P20" s="17"/>
      <c r="Q20" s="17"/>
      <c r="R20" s="17"/>
      <c r="S20" s="122"/>
      <c r="T20" s="109"/>
      <c r="U20" s="44"/>
      <c r="V20" s="43" t="s">
        <v>489</v>
      </c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122"/>
      <c r="AN20" s="123"/>
    </row>
    <row r="21" spans="1:40" ht="15.75" thickBot="1" x14ac:dyDescent="0.3">
      <c r="A21" s="17"/>
      <c r="B21" s="46">
        <v>3</v>
      </c>
      <c r="C21" s="43" t="s">
        <v>85</v>
      </c>
      <c r="D21" s="43" t="s">
        <v>22</v>
      </c>
      <c r="E21" s="3">
        <v>70</v>
      </c>
      <c r="F21" s="151" t="str">
        <f>IF(ISNUMBER(E21),"","Err")</f>
        <v/>
      </c>
      <c r="G21" s="644"/>
      <c r="H21" s="44"/>
      <c r="I21" s="44" t="s">
        <v>545</v>
      </c>
      <c r="J21" s="17"/>
      <c r="K21" s="17"/>
      <c r="L21" s="17"/>
      <c r="M21" s="17"/>
      <c r="N21" s="17"/>
      <c r="O21" s="17"/>
      <c r="P21" s="17"/>
      <c r="Q21" s="17"/>
      <c r="R21" s="17"/>
      <c r="S21" s="122"/>
      <c r="T21" s="109"/>
      <c r="U21" s="44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122"/>
      <c r="AN21" s="123"/>
    </row>
    <row r="22" spans="1:40" ht="15.75" thickBot="1" x14ac:dyDescent="0.3">
      <c r="A22" s="17"/>
      <c r="B22" s="17"/>
      <c r="C22" s="17"/>
      <c r="D22" s="17"/>
      <c r="E22" s="166"/>
      <c r="F22" s="122"/>
      <c r="G22" s="632"/>
      <c r="H22" s="44"/>
      <c r="I22" s="44" t="s">
        <v>225</v>
      </c>
      <c r="J22" s="17"/>
      <c r="K22" s="17"/>
      <c r="L22" s="17"/>
      <c r="M22" s="17"/>
      <c r="N22" s="17"/>
      <c r="O22" s="17"/>
      <c r="P22" s="17"/>
      <c r="Q22" s="17"/>
      <c r="R22" s="17"/>
      <c r="S22" s="122"/>
      <c r="T22" s="109"/>
      <c r="U22" s="44"/>
      <c r="V22" s="53" t="str">
        <f>IF(E35=1,"Zмф, Ом","Uмф, B")</f>
        <v>Zмф, Ом</v>
      </c>
      <c r="W22" s="3">
        <v>3</v>
      </c>
      <c r="X22" s="151" t="str">
        <f>IF(ISNUMBER(W22),"","Err")</f>
        <v/>
      </c>
      <c r="Y22" s="81" t="s">
        <v>210</v>
      </c>
      <c r="Z22" s="82" t="s">
        <v>48</v>
      </c>
      <c r="AA22" s="53" t="s">
        <v>214</v>
      </c>
      <c r="AB22" s="81" t="s">
        <v>175</v>
      </c>
      <c r="AC22" s="82" t="s">
        <v>48</v>
      </c>
      <c r="AD22" s="17"/>
      <c r="AE22" s="17"/>
      <c r="AF22" s="17"/>
      <c r="AG22" s="43"/>
      <c r="AH22" s="43"/>
      <c r="AI22" s="43"/>
      <c r="AJ22" s="43"/>
      <c r="AK22" s="43"/>
      <c r="AL22" s="43"/>
      <c r="AM22" s="122"/>
      <c r="AN22" s="123"/>
    </row>
    <row r="23" spans="1:40" ht="15.75" thickBot="1" x14ac:dyDescent="0.3">
      <c r="A23" s="17"/>
      <c r="B23" s="46">
        <v>4</v>
      </c>
      <c r="C23" s="47" t="s">
        <v>263</v>
      </c>
      <c r="D23" s="47" t="s">
        <v>267</v>
      </c>
      <c r="E23" s="3">
        <v>0.2</v>
      </c>
      <c r="F23" s="151" t="str">
        <f>IF(ISNUMBER(E23),"","Err")</f>
        <v/>
      </c>
      <c r="G23" s="644"/>
      <c r="H23" s="44"/>
      <c r="I23" s="640" t="s">
        <v>69</v>
      </c>
      <c r="J23" s="17"/>
      <c r="K23" s="17"/>
      <c r="L23" s="17"/>
      <c r="M23" s="17"/>
      <c r="N23" s="17"/>
      <c r="O23" s="17"/>
      <c r="P23" s="17"/>
      <c r="Q23" s="17"/>
      <c r="R23" s="17"/>
      <c r="S23" s="122"/>
      <c r="T23" s="109"/>
      <c r="U23" s="44"/>
      <c r="V23" s="53" t="s">
        <v>48</v>
      </c>
      <c r="W23" s="3">
        <v>60</v>
      </c>
      <c r="X23" s="151" t="str">
        <f>IF(ISNUMBER(W23),"","Err")</f>
        <v/>
      </c>
      <c r="Y23" s="84">
        <f>W22/IF(E35=1,1,2*E33)</f>
        <v>3</v>
      </c>
      <c r="Z23" s="85">
        <f>W23</f>
        <v>60</v>
      </c>
      <c r="AA23" s="53" t="s">
        <v>214</v>
      </c>
      <c r="AB23" s="84">
        <f>IF(E35=1,W22*2*E33,W22)</f>
        <v>30</v>
      </c>
      <c r="AC23" s="86">
        <f>IF(E35=1,W23,W23)</f>
        <v>60</v>
      </c>
      <c r="AD23" s="17"/>
      <c r="AE23" s="17"/>
      <c r="AF23" s="17"/>
      <c r="AG23" s="43"/>
      <c r="AH23" s="43"/>
      <c r="AI23" s="43"/>
      <c r="AJ23" s="43"/>
      <c r="AK23" s="43"/>
      <c r="AL23" s="43"/>
      <c r="AM23" s="122"/>
      <c r="AN23" s="123"/>
    </row>
    <row r="24" spans="1:40" x14ac:dyDescent="0.25">
      <c r="A24" s="17"/>
      <c r="B24" s="17"/>
      <c r="C24" s="17"/>
      <c r="D24" s="17"/>
      <c r="E24" s="17"/>
      <c r="F24" s="122"/>
      <c r="G24" s="632"/>
      <c r="H24" s="44"/>
      <c r="I24" s="44" t="s">
        <v>167</v>
      </c>
      <c r="J24" s="17"/>
      <c r="K24" s="17"/>
      <c r="L24" s="17"/>
      <c r="M24" s="17"/>
      <c r="N24" s="17"/>
      <c r="O24" s="17"/>
      <c r="P24" s="17"/>
      <c r="Q24" s="17"/>
      <c r="R24" s="17"/>
      <c r="S24" s="122"/>
      <c r="T24" s="109"/>
      <c r="U24" s="44"/>
      <c r="V24" s="43"/>
      <c r="W24" s="353"/>
      <c r="X24" s="43"/>
      <c r="Y24" s="43"/>
      <c r="Z24" s="43"/>
      <c r="AA24" s="53" t="s">
        <v>214</v>
      </c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122"/>
      <c r="AN24" s="123"/>
    </row>
    <row r="25" spans="1:40" ht="15.75" thickBot="1" x14ac:dyDescent="0.3">
      <c r="A25" s="17"/>
      <c r="B25" s="46">
        <v>5</v>
      </c>
      <c r="C25" s="47" t="s">
        <v>91</v>
      </c>
      <c r="D25" s="47" t="s">
        <v>94</v>
      </c>
      <c r="E25" s="1">
        <v>1</v>
      </c>
      <c r="F25" s="151" t="str">
        <f>IF(ISNUMBER(E25),"","Err")</f>
        <v/>
      </c>
      <c r="G25" s="644"/>
      <c r="H25" s="44"/>
      <c r="I25" s="44"/>
      <c r="J25" s="17"/>
      <c r="K25" s="17"/>
      <c r="L25" s="17"/>
      <c r="M25" s="17"/>
      <c r="N25" s="17"/>
      <c r="O25" s="17"/>
      <c r="P25" s="17"/>
      <c r="Q25" s="17"/>
      <c r="R25" s="17"/>
      <c r="S25" s="122"/>
      <c r="T25" s="109"/>
      <c r="U25" s="44"/>
      <c r="V25" s="17"/>
      <c r="W25" s="17"/>
      <c r="X25" s="43"/>
      <c r="Y25" s="81" t="s">
        <v>211</v>
      </c>
      <c r="Z25" s="82" t="s">
        <v>212</v>
      </c>
      <c r="AA25" s="53" t="s">
        <v>214</v>
      </c>
      <c r="AB25" s="81" t="s">
        <v>215</v>
      </c>
      <c r="AC25" s="82" t="s">
        <v>48</v>
      </c>
      <c r="AD25" s="43"/>
      <c r="AE25" s="43"/>
      <c r="AF25" s="43"/>
      <c r="AG25" s="43"/>
      <c r="AH25" s="43"/>
      <c r="AI25" s="43"/>
      <c r="AJ25" s="43"/>
      <c r="AK25" s="43"/>
      <c r="AL25" s="43"/>
      <c r="AM25" s="122"/>
      <c r="AN25" s="123"/>
    </row>
    <row r="26" spans="1:40" ht="15.75" thickBot="1" x14ac:dyDescent="0.3">
      <c r="A26" s="17"/>
      <c r="B26" s="46">
        <v>6</v>
      </c>
      <c r="C26" s="47" t="s">
        <v>92</v>
      </c>
      <c r="D26" s="43" t="s">
        <v>93</v>
      </c>
      <c r="E26" s="3">
        <v>15</v>
      </c>
      <c r="F26" s="151" t="str">
        <f>IF(ISNUMBER(E26),"","Err")</f>
        <v/>
      </c>
      <c r="G26" s="644"/>
      <c r="H26" s="687" t="s">
        <v>320</v>
      </c>
      <c r="I26" s="642" t="s">
        <v>583</v>
      </c>
      <c r="J26" s="17"/>
      <c r="K26" s="17"/>
      <c r="L26" s="17"/>
      <c r="M26" s="17"/>
      <c r="N26" s="17"/>
      <c r="O26" s="17"/>
      <c r="P26" s="17"/>
      <c r="Q26" s="17"/>
      <c r="R26" s="17"/>
      <c r="S26" s="122"/>
      <c r="T26" s="109"/>
      <c r="U26" s="44"/>
      <c r="V26" s="17"/>
      <c r="W26" s="17"/>
      <c r="X26" s="43"/>
      <c r="Y26" s="84">
        <f>Y23*COS(RADIANS(Z23))</f>
        <v>1.5000000000000004</v>
      </c>
      <c r="Z26" s="86">
        <f>Y23*SIN(RADIANS(Z23))</f>
        <v>2.598076211353316</v>
      </c>
      <c r="AA26" s="53" t="s">
        <v>214</v>
      </c>
      <c r="AB26" s="84">
        <f>E33</f>
        <v>5</v>
      </c>
      <c r="AC26" s="86">
        <v>0</v>
      </c>
      <c r="AD26" s="43"/>
      <c r="AE26" s="43"/>
      <c r="AF26" s="43"/>
      <c r="AG26" s="43"/>
      <c r="AH26" s="43"/>
      <c r="AI26" s="43"/>
      <c r="AJ26" s="43"/>
      <c r="AK26" s="43"/>
      <c r="AL26" s="43"/>
      <c r="AM26" s="122"/>
      <c r="AN26" s="123"/>
    </row>
    <row r="27" spans="1:40" ht="15.75" thickBot="1" x14ac:dyDescent="0.3">
      <c r="A27" s="17"/>
      <c r="B27" s="48"/>
      <c r="C27" s="48"/>
      <c r="D27" s="48"/>
      <c r="E27" s="132"/>
      <c r="F27" s="122"/>
      <c r="G27" s="632"/>
      <c r="H27" s="326"/>
      <c r="I27" s="642" t="s">
        <v>582</v>
      </c>
      <c r="J27" s="17"/>
      <c r="K27" s="17"/>
      <c r="L27" s="17"/>
      <c r="M27" s="17"/>
      <c r="N27" s="17"/>
      <c r="O27" s="17"/>
      <c r="P27" s="17"/>
      <c r="Q27" s="17"/>
      <c r="R27" s="17"/>
      <c r="S27" s="122"/>
      <c r="T27" s="109"/>
      <c r="U27" s="44"/>
      <c r="V27" s="17"/>
      <c r="W27" s="17"/>
      <c r="X27" s="17"/>
      <c r="Y27" s="17"/>
      <c r="Z27" s="17"/>
      <c r="AA27" s="17"/>
      <c r="AB27" s="17"/>
      <c r="AC27" s="17"/>
      <c r="AD27" s="43"/>
      <c r="AE27" s="87"/>
      <c r="AF27" s="43"/>
      <c r="AG27" s="43"/>
      <c r="AH27" s="43"/>
      <c r="AI27" s="43"/>
      <c r="AJ27" s="43"/>
      <c r="AK27" s="43"/>
      <c r="AL27" s="43"/>
      <c r="AM27" s="122"/>
      <c r="AN27" s="123"/>
    </row>
    <row r="28" spans="1:40" ht="16.5" thickBot="1" x14ac:dyDescent="0.3">
      <c r="A28" s="17"/>
      <c r="B28" s="17"/>
      <c r="C28" s="17"/>
      <c r="D28" s="17"/>
      <c r="E28" s="17"/>
      <c r="F28" s="122"/>
      <c r="G28" s="632"/>
      <c r="H28" s="44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22"/>
      <c r="T28" s="109"/>
      <c r="U28" s="44"/>
      <c r="V28" s="742" t="s">
        <v>493</v>
      </c>
      <c r="W28" s="742"/>
      <c r="X28" s="638" t="str">
        <f>IF(AG36,"область срабатывания","")</f>
        <v>область срабатывания</v>
      </c>
      <c r="Y28" s="17"/>
      <c r="Z28" s="17"/>
      <c r="AA28" s="17"/>
      <c r="AB28" s="17"/>
      <c r="AC28" s="17"/>
      <c r="AD28" s="43"/>
      <c r="AE28" s="87"/>
      <c r="AF28" s="43"/>
      <c r="AG28" s="43"/>
      <c r="AH28" s="43"/>
      <c r="AI28" s="43"/>
      <c r="AJ28" s="43"/>
      <c r="AK28" s="43"/>
      <c r="AL28" s="43"/>
      <c r="AM28" s="122"/>
      <c r="AN28" s="123"/>
    </row>
    <row r="29" spans="1:40" ht="16.5" thickBot="1" x14ac:dyDescent="0.3">
      <c r="A29" s="17"/>
      <c r="B29" s="8" t="s">
        <v>161</v>
      </c>
      <c r="C29" s="5"/>
      <c r="D29" s="5"/>
      <c r="E29" s="5"/>
      <c r="F29" s="122"/>
      <c r="G29" s="632"/>
      <c r="H29" s="44"/>
      <c r="I29" s="55" t="s">
        <v>30</v>
      </c>
      <c r="J29" s="55"/>
      <c r="K29" s="56" t="s">
        <v>73</v>
      </c>
      <c r="L29" s="57"/>
      <c r="M29" s="55" t="s">
        <v>31</v>
      </c>
      <c r="N29" s="58" t="s">
        <v>32</v>
      </c>
      <c r="O29" s="58"/>
      <c r="P29" s="56"/>
      <c r="Q29" s="59" t="s">
        <v>43</v>
      </c>
      <c r="R29" s="57"/>
      <c r="S29" s="122"/>
      <c r="T29" s="109"/>
      <c r="U29" s="44"/>
      <c r="V29" s="742"/>
      <c r="W29" s="742"/>
      <c r="X29" s="639" t="str">
        <f>IF(AG36,"","область не срабатывания")</f>
        <v/>
      </c>
      <c r="Y29" s="17"/>
      <c r="Z29" s="17"/>
      <c r="AA29" s="17"/>
      <c r="AB29" s="17"/>
      <c r="AC29" s="17"/>
      <c r="AD29" s="43"/>
      <c r="AE29" s="87"/>
      <c r="AF29" s="43"/>
      <c r="AG29" s="43"/>
      <c r="AH29" s="43"/>
      <c r="AI29" s="43"/>
      <c r="AJ29" s="43"/>
      <c r="AK29" s="43"/>
      <c r="AL29" s="43"/>
      <c r="AM29" s="122"/>
      <c r="AN29" s="123"/>
    </row>
    <row r="30" spans="1:40" ht="15.75" thickBot="1" x14ac:dyDescent="0.3">
      <c r="A30" s="17"/>
      <c r="B30" s="43"/>
      <c r="C30" s="43"/>
      <c r="D30" s="43"/>
      <c r="E30" s="53"/>
      <c r="F30" s="122"/>
      <c r="G30" s="632"/>
      <c r="H30" s="44"/>
      <c r="I30" s="143"/>
      <c r="J30" s="43"/>
      <c r="K30" s="43"/>
      <c r="L30" s="43"/>
      <c r="M30" s="43"/>
      <c r="N30" s="43"/>
      <c r="O30" s="43"/>
      <c r="P30" s="43"/>
      <c r="Q30" s="43"/>
      <c r="R30" s="43"/>
      <c r="S30" s="122"/>
      <c r="T30" s="109"/>
      <c r="U30" s="44"/>
      <c r="V30" s="43"/>
      <c r="W30" s="43"/>
      <c r="X30" s="43"/>
      <c r="Y30" s="43"/>
      <c r="Z30" s="43"/>
      <c r="AA30" s="43"/>
      <c r="AB30" s="43"/>
      <c r="AC30" s="43"/>
      <c r="AD30" s="43"/>
      <c r="AE30" s="87"/>
      <c r="AF30" s="43"/>
      <c r="AG30" s="43"/>
      <c r="AH30" s="43"/>
      <c r="AI30" s="43"/>
      <c r="AJ30" s="43"/>
      <c r="AK30" s="43"/>
      <c r="AL30" s="43"/>
      <c r="AM30" s="122"/>
      <c r="AN30" s="123"/>
    </row>
    <row r="31" spans="1:40" ht="15.75" thickBot="1" x14ac:dyDescent="0.3">
      <c r="A31" s="17"/>
      <c r="B31" s="50" t="s">
        <v>62</v>
      </c>
      <c r="C31" s="51" t="s">
        <v>63</v>
      </c>
      <c r="D31" s="50" t="s">
        <v>67</v>
      </c>
      <c r="E31" s="50" t="s">
        <v>68</v>
      </c>
      <c r="F31" s="122"/>
      <c r="G31" s="632"/>
      <c r="H31" s="44"/>
      <c r="I31" s="288" t="s">
        <v>113</v>
      </c>
      <c r="J31" s="17"/>
      <c r="K31" s="61" t="str">
        <f>IF(E35=1,"Z, Ом","U, B")</f>
        <v>Z, Ом</v>
      </c>
      <c r="L31" s="62" t="s">
        <v>129</v>
      </c>
      <c r="M31" s="17"/>
      <c r="N31" s="17"/>
      <c r="O31" s="17"/>
      <c r="P31" s="147" t="s">
        <v>97</v>
      </c>
      <c r="Q31" s="148" t="s">
        <v>98</v>
      </c>
      <c r="R31" s="149" t="s">
        <v>99</v>
      </c>
      <c r="S31" s="122"/>
      <c r="T31" s="109"/>
      <c r="U31" s="44"/>
      <c r="V31" s="88" t="s">
        <v>122</v>
      </c>
      <c r="W31" s="89"/>
      <c r="X31" s="17"/>
      <c r="Y31" s="88" t="s">
        <v>220</v>
      </c>
      <c r="Z31" s="170" t="s">
        <v>261</v>
      </c>
      <c r="AA31" s="170" t="s">
        <v>262</v>
      </c>
      <c r="AB31" s="17"/>
      <c r="AC31" s="88" t="s">
        <v>116</v>
      </c>
      <c r="AD31" s="89"/>
      <c r="AE31" s="17"/>
      <c r="AF31" s="49" t="s">
        <v>290</v>
      </c>
      <c r="AG31" s="197" t="s">
        <v>100</v>
      </c>
      <c r="AH31" s="49" t="s">
        <v>101</v>
      </c>
      <c r="AI31" s="17"/>
      <c r="AJ31" s="17"/>
      <c r="AK31" s="17"/>
      <c r="AL31" s="17"/>
      <c r="AM31" s="122"/>
      <c r="AN31" s="123"/>
    </row>
    <row r="32" spans="1:40" x14ac:dyDescent="0.25">
      <c r="A32" s="17"/>
      <c r="B32" s="17"/>
      <c r="C32" s="17"/>
      <c r="D32" s="17"/>
      <c r="E32" s="17"/>
      <c r="F32" s="122"/>
      <c r="G32" s="632"/>
      <c r="H32" s="44"/>
      <c r="I32" s="592"/>
      <c r="J32" s="43"/>
      <c r="K32" s="64"/>
      <c r="L32" s="64"/>
      <c r="M32" s="43"/>
      <c r="N32" s="65"/>
      <c r="O32" s="65"/>
      <c r="P32" s="66"/>
      <c r="Q32" s="66"/>
      <c r="R32" s="66"/>
      <c r="S32" s="122"/>
      <c r="T32" s="109"/>
      <c r="U32" s="44"/>
      <c r="V32" s="90" t="s">
        <v>86</v>
      </c>
      <c r="W32" s="91">
        <f>E18*(IF(E37=1,1,-1))</f>
        <v>4</v>
      </c>
      <c r="X32" s="17"/>
      <c r="Y32" s="92" t="s">
        <v>259</v>
      </c>
      <c r="Z32" s="93">
        <f>IF(E39="есть",1,0)</f>
        <v>1</v>
      </c>
      <c r="AA32" s="93">
        <f>IF(E42="есть",1,0)</f>
        <v>1</v>
      </c>
      <c r="AB32" s="17"/>
      <c r="AC32" s="92" t="s">
        <v>139</v>
      </c>
      <c r="AD32" s="93">
        <f>IF(E37=1,0,1)</f>
        <v>0</v>
      </c>
      <c r="AE32" s="17"/>
      <c r="AF32" s="179" t="s">
        <v>289</v>
      </c>
      <c r="AG32" s="180">
        <f>Y26</f>
        <v>1.5000000000000004</v>
      </c>
      <c r="AH32" s="181">
        <f>Z26</f>
        <v>2.598076211353316</v>
      </c>
      <c r="AI32" s="17"/>
      <c r="AJ32" s="17"/>
      <c r="AK32" s="17"/>
      <c r="AL32" s="17"/>
      <c r="AM32" s="122"/>
      <c r="AN32" s="123"/>
    </row>
    <row r="33" spans="1:40" ht="15.75" thickBot="1" x14ac:dyDescent="0.3">
      <c r="A33" s="17"/>
      <c r="B33" s="46">
        <v>1</v>
      </c>
      <c r="C33" s="43" t="s">
        <v>128</v>
      </c>
      <c r="D33" s="43" t="s">
        <v>25</v>
      </c>
      <c r="E33" s="1">
        <v>5</v>
      </c>
      <c r="F33" s="151" t="str">
        <f>IF(ISNUMBER(E33),IF(OR(E33=1,E33=5),"","Не ном."),"Err")</f>
        <v/>
      </c>
      <c r="G33" s="644"/>
      <c r="H33" s="44"/>
      <c r="I33" s="593" t="s">
        <v>250</v>
      </c>
      <c r="J33" s="17"/>
      <c r="K33" s="153">
        <f>ROUNDDOWN(W59*IF(E35=1,1,2*E33)*1.1,2)</f>
        <v>0.88</v>
      </c>
      <c r="L33" s="67">
        <f>W60</f>
        <v>270</v>
      </c>
      <c r="M33" s="184" t="str">
        <f>IF(E35=1,"уменьш. Z до","уменьш. U до")</f>
        <v>уменьш. Z до</v>
      </c>
      <c r="N33" s="75">
        <f>W59*IF(E35=1,1,2*E33)</f>
        <v>0.8</v>
      </c>
      <c r="O33" s="188" t="str">
        <f>IF(E35=1,"Z -&gt; ","U -&gt; ")</f>
        <v xml:space="preserve">Z -&gt; </v>
      </c>
      <c r="P33" s="13">
        <v>0</v>
      </c>
      <c r="Q33" s="11">
        <v>0</v>
      </c>
      <c r="R33" s="14">
        <v>0</v>
      </c>
      <c r="S33" s="151" t="str">
        <f>IF(AND(ISNUMBER(P33),ISNUMBER(Q33),ISNUMBER(R33)),"","Err")</f>
        <v/>
      </c>
      <c r="T33" s="109"/>
      <c r="U33" s="44"/>
      <c r="V33" s="90" t="s">
        <v>241</v>
      </c>
      <c r="W33" s="94">
        <f>E18*E23*(IF(E37=1,-1,1))</f>
        <v>-0.8</v>
      </c>
      <c r="X33" s="17"/>
      <c r="Y33" s="92" t="s">
        <v>260</v>
      </c>
      <c r="Z33" s="169">
        <f>IF(E40="есть",1,0)</f>
        <v>1</v>
      </c>
      <c r="AA33" s="169">
        <f>IF(E43="есть",1,0)</f>
        <v>1</v>
      </c>
      <c r="AB33" s="17"/>
      <c r="AC33" s="92"/>
      <c r="AD33" s="94"/>
      <c r="AE33" s="17"/>
      <c r="AF33" s="92" t="s">
        <v>286</v>
      </c>
      <c r="AG33" s="182">
        <f>IF(OR(AND(AD32=0,AG32&gt;=(AH32/TAN(RADIANS(W35))),AG32&lt;=(W34+AH32/TAN(RADIANS(W35)))),AND(AD32=1,AG32&lt;=(AH32/TAN(RADIANS(W35))),AG32&gt;=(W34+AH32/TAN(RADIANS(W35))))),1,0)</f>
        <v>1</v>
      </c>
      <c r="AH33" s="183">
        <f>IF(OR(AND(AD32=0,AH32&gt;=(W33),AH32&lt;=(W32)),AND(AD32=1,AH32&lt;=(W33),AH32&gt;=(W32))),1,0)</f>
        <v>1</v>
      </c>
      <c r="AI33" s="17"/>
      <c r="AJ33" s="17"/>
      <c r="AK33" s="17"/>
      <c r="AL33" s="17"/>
      <c r="AM33" s="122"/>
      <c r="AN33" s="123"/>
    </row>
    <row r="34" spans="1:40" ht="15.75" thickBot="1" x14ac:dyDescent="0.3">
      <c r="A34" s="17"/>
      <c r="B34" s="46"/>
      <c r="C34" s="43"/>
      <c r="D34" s="43"/>
      <c r="E34" s="10" t="s">
        <v>590</v>
      </c>
      <c r="F34" s="122"/>
      <c r="G34" s="632"/>
      <c r="H34" s="44"/>
      <c r="I34" s="593" t="s">
        <v>248</v>
      </c>
      <c r="J34" s="17"/>
      <c r="K34" s="153">
        <f>ROUNDUP(AB59*IF(E35=1,1,2*E33)*1.1,1)</f>
        <v>4.4000000000000004</v>
      </c>
      <c r="L34" s="67">
        <f>AB60</f>
        <v>90</v>
      </c>
      <c r="M34" s="185" t="str">
        <f>IF(E35=1,"уменьш. Z до","уменьш. U до")</f>
        <v>уменьш. Z до</v>
      </c>
      <c r="N34" s="75">
        <f>AB59*IF(E35=1,1,2*E33)</f>
        <v>4</v>
      </c>
      <c r="O34" s="188" t="str">
        <f>IF(E35=1,"Z -&gt; ","U -&gt; ")</f>
        <v xml:space="preserve">Z -&gt; </v>
      </c>
      <c r="P34" s="13">
        <v>0</v>
      </c>
      <c r="Q34" s="11">
        <v>0</v>
      </c>
      <c r="R34" s="14">
        <v>0</v>
      </c>
      <c r="S34" s="151" t="str">
        <f>IF(AND(ISNUMBER(P34),ISNUMBER(Q34),ISNUMBER(R34)),"","Err")</f>
        <v/>
      </c>
      <c r="T34" s="109"/>
      <c r="U34" s="44"/>
      <c r="V34" s="92" t="s">
        <v>87</v>
      </c>
      <c r="W34" s="94">
        <f>E19*(IF(E37=1,1,-1))</f>
        <v>2</v>
      </c>
      <c r="X34" s="17"/>
      <c r="Y34" s="92" t="s">
        <v>94</v>
      </c>
      <c r="Z34" s="94">
        <f>E25*(IF(E37=1,1,-1))</f>
        <v>1</v>
      </c>
      <c r="AA34" s="94">
        <f>E25*(IF(E37=1,-1,1))</f>
        <v>-1</v>
      </c>
      <c r="AB34" s="17"/>
      <c r="AC34" s="95"/>
      <c r="AD34" s="96"/>
      <c r="AE34" s="17"/>
      <c r="AF34" s="95" t="s">
        <v>287</v>
      </c>
      <c r="AG34" s="182">
        <f>IF(OR(AND(AD32=0,AG32&gt;=(AH32/TAN(RADIANS(W35))-W34),AG32&lt;=(AH32/TAN(RADIANS(W35)))),AND(AD32=1,AG32&lt;=(AH32/TAN(RADIANS(W35))-W34),AG32&gt;=(AH32/TAN(RADIANS(W35))))),1,0)</f>
        <v>0</v>
      </c>
      <c r="AH34" s="183">
        <f>IF(OR(AND(AD32=0,AH32&gt;=(W33),AH32&lt;=(W32)),AND(AD32=1,AH32&lt;=(W33),AH32&gt;=(W32))),1,0)</f>
        <v>1</v>
      </c>
      <c r="AI34" s="17"/>
      <c r="AJ34" s="17"/>
      <c r="AK34" s="17"/>
      <c r="AL34" s="17"/>
      <c r="AM34" s="122"/>
      <c r="AN34" s="123"/>
    </row>
    <row r="35" spans="1:40" ht="15.75" thickBot="1" x14ac:dyDescent="0.3">
      <c r="A35" s="17"/>
      <c r="B35" s="46">
        <v>2</v>
      </c>
      <c r="C35" s="43" t="s">
        <v>115</v>
      </c>
      <c r="D35" s="47" t="s">
        <v>56</v>
      </c>
      <c r="E35" s="9">
        <v>1</v>
      </c>
      <c r="F35" s="151" t="str">
        <f>IF(OR(E35=1,E35=2),"","Err")</f>
        <v/>
      </c>
      <c r="G35" s="644"/>
      <c r="H35" s="44"/>
      <c r="I35" s="594" t="s">
        <v>133</v>
      </c>
      <c r="J35" s="17"/>
      <c r="K35" s="154">
        <f>ROUNDUP(IF(E35=1,Z59,Z59*(2*E33))*1.1,1)</f>
        <v>2.7</v>
      </c>
      <c r="L35" s="68">
        <f>Z60</f>
        <v>18</v>
      </c>
      <c r="M35" s="185" t="str">
        <f>IF(E35=1,"уменьш. Z до","уменьш. U до")</f>
        <v>уменьш. Z до</v>
      </c>
      <c r="N35" s="76">
        <f>IF(E35=1,Z59,Z59*(2*E33))</f>
        <v>2.3849741046932142</v>
      </c>
      <c r="O35" s="188" t="str">
        <f>IF(E35=1,"Z -&gt; ","U -&gt; ")</f>
        <v xml:space="preserve">Z -&gt; </v>
      </c>
      <c r="P35" s="13">
        <v>0</v>
      </c>
      <c r="Q35" s="11">
        <v>0</v>
      </c>
      <c r="R35" s="14">
        <v>0</v>
      </c>
      <c r="S35" s="151" t="str">
        <f>IF(AND(ISNUMBER(P35),ISNUMBER(Q35),ISNUMBER(R35)),"","Err")</f>
        <v/>
      </c>
      <c r="T35" s="109"/>
      <c r="U35" s="44"/>
      <c r="V35" s="95" t="s">
        <v>59</v>
      </c>
      <c r="W35" s="96">
        <f>IF(E37=1,E21,E21+180)</f>
        <v>70</v>
      </c>
      <c r="X35" s="43"/>
      <c r="Y35" s="95" t="s">
        <v>93</v>
      </c>
      <c r="Z35" s="96">
        <f>E26</f>
        <v>15</v>
      </c>
      <c r="AA35" s="96">
        <f>E26</f>
        <v>15</v>
      </c>
      <c r="AB35" s="17"/>
      <c r="AC35" s="95"/>
      <c r="AD35" s="96"/>
      <c r="AE35" s="17"/>
      <c r="AF35" s="95" t="s">
        <v>288</v>
      </c>
      <c r="AG35" s="182">
        <f>IF(ABS(AG32)&gt;ABS(E25),1,0)</f>
        <v>1</v>
      </c>
      <c r="AH35" s="183">
        <f>IF(OR(AND(AH32&gt;(AG32*TAN(RADIANS(Z36))),AH32&lt;(AG32*TAN(RADIANS(Z37)))),AND(AH32&lt;(AG32*TAN(RADIANS(Z36))),AH32&gt;(AG32*TAN(RADIANS(Z37))))),1,0)</f>
        <v>0</v>
      </c>
      <c r="AI35" s="17"/>
      <c r="AJ35" s="17"/>
      <c r="AK35" s="17"/>
      <c r="AL35" s="17"/>
      <c r="AM35" s="122"/>
      <c r="AN35" s="123"/>
    </row>
    <row r="36" spans="1:40" ht="15.75" customHeight="1" thickBot="1" x14ac:dyDescent="0.3">
      <c r="A36" s="17"/>
      <c r="B36" s="46"/>
      <c r="C36" s="43"/>
      <c r="D36" s="43"/>
      <c r="E36" s="10" t="s">
        <v>589</v>
      </c>
      <c r="F36" s="122"/>
      <c r="G36" s="632"/>
      <c r="H36" s="44"/>
      <c r="I36" s="595" t="s">
        <v>249</v>
      </c>
      <c r="J36" s="17"/>
      <c r="K36" s="155">
        <f>IF(E35=1,AA59,AA59*(2*E33))</f>
        <v>4.7</v>
      </c>
      <c r="L36" s="69">
        <f>ROUNDDOWN(AA60,0)-5</f>
        <v>41</v>
      </c>
      <c r="M36" s="186" t="s">
        <v>76</v>
      </c>
      <c r="N36" s="77">
        <f>AA60</f>
        <v>46.429998184820683</v>
      </c>
      <c r="O36" s="188" t="s">
        <v>292</v>
      </c>
      <c r="P36" s="13">
        <v>0</v>
      </c>
      <c r="Q36" s="11">
        <v>0</v>
      </c>
      <c r="R36" s="14">
        <v>0</v>
      </c>
      <c r="S36" s="151" t="str">
        <f>IF(AND(ISNUMBER(P36),ISNUMBER(Q36),ISNUMBER(R36)),"","Err")</f>
        <v/>
      </c>
      <c r="T36" s="109"/>
      <c r="U36" s="44"/>
      <c r="V36" s="17"/>
      <c r="W36" s="17"/>
      <c r="X36" s="17"/>
      <c r="Y36" s="95" t="s">
        <v>117</v>
      </c>
      <c r="Z36" s="96">
        <f>IF(E37=1,(-1)*E26,(-1)*E26+180)</f>
        <v>-15</v>
      </c>
      <c r="AA36" s="96">
        <f>IF(E37=1,180+E26,E26)</f>
        <v>195</v>
      </c>
      <c r="AB36" s="17"/>
      <c r="AC36" s="95"/>
      <c r="AD36" s="96"/>
      <c r="AE36" s="17"/>
      <c r="AF36" s="95" t="s">
        <v>291</v>
      </c>
      <c r="AG36" s="182">
        <f>IF(AND(OR(AND(AG33,AH33),AND(AG34,AH34)),NOT(AND(AG35,AH35))),1,0)</f>
        <v>1</v>
      </c>
      <c r="AH36" s="183"/>
      <c r="AI36" s="17"/>
      <c r="AJ36" s="17"/>
      <c r="AK36" s="17"/>
      <c r="AL36" s="17"/>
      <c r="AM36" s="122"/>
      <c r="AN36" s="123"/>
    </row>
    <row r="37" spans="1:40" ht="15.75" thickBot="1" x14ac:dyDescent="0.3">
      <c r="A37" s="17"/>
      <c r="B37" s="46">
        <v>3</v>
      </c>
      <c r="C37" s="47" t="s">
        <v>96</v>
      </c>
      <c r="D37" s="47" t="s">
        <v>56</v>
      </c>
      <c r="E37" s="9">
        <v>1</v>
      </c>
      <c r="F37" s="151" t="str">
        <f>IF(OR(E37=1,E37=2),"","Err")</f>
        <v/>
      </c>
      <c r="G37" s="644"/>
      <c r="H37" s="44"/>
      <c r="I37" s="18"/>
      <c r="J37" s="64"/>
      <c r="K37" s="70"/>
      <c r="L37" s="71"/>
      <c r="M37" s="79"/>
      <c r="N37" s="70"/>
      <c r="O37" s="174"/>
      <c r="P37" s="335"/>
      <c r="Q37" s="335"/>
      <c r="R37" s="335"/>
      <c r="S37" s="122"/>
      <c r="T37" s="109"/>
      <c r="U37" s="44"/>
      <c r="V37" s="17"/>
      <c r="W37" s="17"/>
      <c r="X37" s="17"/>
      <c r="Y37" s="95" t="s">
        <v>118</v>
      </c>
      <c r="Z37" s="96">
        <f>IF(E37=1,E26,E26+180)</f>
        <v>15</v>
      </c>
      <c r="AA37" s="96">
        <f>IF(E37=1,180-E26,E26*(-1))</f>
        <v>165</v>
      </c>
      <c r="AB37" s="17"/>
      <c r="AC37" s="95"/>
      <c r="AD37" s="96"/>
      <c r="AE37" s="17"/>
      <c r="AF37" s="95"/>
      <c r="AG37" s="198"/>
      <c r="AH37" s="199"/>
      <c r="AI37" s="17"/>
      <c r="AJ37" s="17"/>
      <c r="AK37" s="17"/>
      <c r="AL37" s="17"/>
      <c r="AM37" s="122"/>
      <c r="AN37" s="123"/>
    </row>
    <row r="38" spans="1:40" x14ac:dyDescent="0.25">
      <c r="A38" s="17"/>
      <c r="B38" s="46"/>
      <c r="C38" s="52"/>
      <c r="D38" s="47"/>
      <c r="E38" s="157"/>
      <c r="F38" s="122"/>
      <c r="G38" s="632"/>
      <c r="H38" s="44"/>
      <c r="I38" s="288" t="s">
        <v>114</v>
      </c>
      <c r="J38" s="72"/>
      <c r="K38" s="354" t="str">
        <f>IF(E39="есть",IF(E40="есть","(предусмотрена)","(не возможна)"),"(не предусмотрена)")</f>
        <v>(предусмотрена)</v>
      </c>
      <c r="L38" s="355"/>
      <c r="M38" s="166"/>
      <c r="N38" s="166"/>
      <c r="O38" s="166"/>
      <c r="P38" s="166"/>
      <c r="Q38" s="166"/>
      <c r="R38" s="166"/>
      <c r="S38" s="122"/>
      <c r="T38" s="109"/>
      <c r="U38" s="44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22"/>
      <c r="AN38" s="123"/>
    </row>
    <row r="39" spans="1:40" x14ac:dyDescent="0.25">
      <c r="A39" s="17"/>
      <c r="B39" s="46">
        <v>4</v>
      </c>
      <c r="C39" s="43" t="s">
        <v>508</v>
      </c>
      <c r="D39" s="47" t="s">
        <v>56</v>
      </c>
      <c r="E39" s="158" t="str">
        <f>IF(AND(ABS(E25)&gt;0,ABS(E25)&lt;ABS(E19/(1-TAN(RADIANS(E26))/TAN(RADIANS(E21)))),E26&gt;=1,E26&lt;=89),"есть","нет")</f>
        <v>есть</v>
      </c>
      <c r="F39" s="122"/>
      <c r="G39" s="632"/>
      <c r="H39" s="44"/>
      <c r="I39" s="596"/>
      <c r="J39" s="64"/>
      <c r="K39" s="70"/>
      <c r="L39" s="71"/>
      <c r="M39" s="79"/>
      <c r="N39" s="70"/>
      <c r="O39" s="174"/>
      <c r="P39" s="335"/>
      <c r="Q39" s="335"/>
      <c r="R39" s="335"/>
      <c r="S39" s="122"/>
      <c r="T39" s="109"/>
      <c r="U39" s="44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73"/>
      <c r="AG39" s="17"/>
      <c r="AH39" s="17"/>
      <c r="AI39" s="17"/>
      <c r="AJ39" s="73"/>
      <c r="AK39" s="73"/>
      <c r="AL39" s="17"/>
      <c r="AM39" s="122"/>
      <c r="AN39" s="123"/>
    </row>
    <row r="40" spans="1:40" ht="15.75" thickBot="1" x14ac:dyDescent="0.3">
      <c r="A40" s="17"/>
      <c r="B40" s="46">
        <v>5</v>
      </c>
      <c r="C40" s="43" t="s">
        <v>510</v>
      </c>
      <c r="D40" s="47" t="s">
        <v>56</v>
      </c>
      <c r="E40" s="54" t="str">
        <f>IF(E39="есть",IF(ABS(TAN(RADIANS(E21))/(TAN(RADIANS(E21))-TAN(RADIANS(E26))))-(E25/E19)&gt;=0.06,"есть","нет"),"нет")</f>
        <v>есть</v>
      </c>
      <c r="F40" s="122"/>
      <c r="G40" s="632"/>
      <c r="H40" s="44"/>
      <c r="I40" s="590" t="s">
        <v>251</v>
      </c>
      <c r="J40" s="64"/>
      <c r="K40" s="153">
        <f>IF(AND(E40="есть",(AB47-AA47)*100/W34&gt;=5),ROUNDUP(X59*IF(E35=1,1,2*E33)*1.1,1),"-")</f>
        <v>1.1000000000000001</v>
      </c>
      <c r="L40" s="67">
        <f>IF(AND(E40="есть",(AB47-AA47)*100/W34&gt;=5),X60,"-")</f>
        <v>0</v>
      </c>
      <c r="M40" s="184" t="str">
        <f>IF(E40="есть",IF(E35=1,"уменьш. Z до","уменьш. U до"),"-")</f>
        <v>уменьш. Z до</v>
      </c>
      <c r="N40" s="75">
        <f>IF(AND(E40="есть",(AB47-AA47)*100/W34&gt;=5),X59*IF(E35=1,1,2*E33),"-")</f>
        <v>1</v>
      </c>
      <c r="O40" s="188" t="str">
        <f>IF(E35=1,"Z -&gt; ","U -&gt; ")</f>
        <v xml:space="preserve">Z -&gt; </v>
      </c>
      <c r="P40" s="13">
        <v>0</v>
      </c>
      <c r="Q40" s="11">
        <v>0</v>
      </c>
      <c r="R40" s="14">
        <v>0</v>
      </c>
      <c r="S40" s="151" t="str">
        <f>IF(AND(ISNUMBER(P40),ISNUMBER(Q40),ISNUMBER(R40)),"","Err")</f>
        <v/>
      </c>
      <c r="T40" s="109"/>
      <c r="U40" s="44"/>
      <c r="V40" s="43" t="s">
        <v>110</v>
      </c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122"/>
      <c r="AN40" s="123"/>
    </row>
    <row r="41" spans="1:40" ht="15.75" thickBot="1" x14ac:dyDescent="0.3">
      <c r="A41" s="17"/>
      <c r="B41" s="46"/>
      <c r="C41" s="43"/>
      <c r="D41" s="47"/>
      <c r="E41" s="54"/>
      <c r="F41" s="122"/>
      <c r="G41" s="632"/>
      <c r="H41" s="44"/>
      <c r="I41" s="591" t="s">
        <v>252</v>
      </c>
      <c r="J41" s="17"/>
      <c r="K41" s="155">
        <f>IF(AND(E40="есть",(AB47-AA47)*100/W34&gt;=5),Y59*IF(E35=1,1,2*E33),"-")</f>
        <v>1.9</v>
      </c>
      <c r="L41" s="69">
        <f>IF(AND(E40="есть",(AB47-AA47)*100/W34&gt;=5),Y60-5,"-")</f>
        <v>9.9999999999999982</v>
      </c>
      <c r="M41" s="186" t="str">
        <f>IF(E40="есть","увелич. fi до","-")</f>
        <v>увелич. fi до</v>
      </c>
      <c r="N41" s="77">
        <f>IF(AND(E40="есть",(AB47-AA47)*100/W34&gt;=5),Y60,"-")</f>
        <v>14.999999999999998</v>
      </c>
      <c r="O41" s="188" t="s">
        <v>292</v>
      </c>
      <c r="P41" s="13">
        <v>0</v>
      </c>
      <c r="Q41" s="11">
        <v>0</v>
      </c>
      <c r="R41" s="14">
        <v>0</v>
      </c>
      <c r="S41" s="151" t="str">
        <f>IF(AND(ISNUMBER(P41),ISNUMBER(Q41),ISNUMBER(R41)),"","Err")</f>
        <v/>
      </c>
      <c r="T41" s="109"/>
      <c r="U41" s="44"/>
      <c r="V41" s="17"/>
      <c r="W41" s="53" t="s">
        <v>37</v>
      </c>
      <c r="X41" s="53" t="s">
        <v>38</v>
      </c>
      <c r="Y41" s="53" t="s">
        <v>39</v>
      </c>
      <c r="Z41" s="53" t="s">
        <v>40</v>
      </c>
      <c r="AA41" s="53" t="s">
        <v>111</v>
      </c>
      <c r="AB41" s="53" t="s">
        <v>41</v>
      </c>
      <c r="AC41" s="53" t="s">
        <v>44</v>
      </c>
      <c r="AD41" s="53" t="s">
        <v>243</v>
      </c>
      <c r="AE41" s="53" t="s">
        <v>102</v>
      </c>
      <c r="AF41" s="53" t="s">
        <v>103</v>
      </c>
      <c r="AG41" s="53" t="s">
        <v>104</v>
      </c>
      <c r="AH41" s="53" t="s">
        <v>245</v>
      </c>
      <c r="AI41" s="53" t="s">
        <v>105</v>
      </c>
      <c r="AJ41" s="53" t="s">
        <v>106</v>
      </c>
      <c r="AK41" s="53" t="s">
        <v>244</v>
      </c>
      <c r="AL41" s="53" t="s">
        <v>37</v>
      </c>
      <c r="AM41" s="122"/>
      <c r="AN41" s="123"/>
    </row>
    <row r="42" spans="1:40" x14ac:dyDescent="0.25">
      <c r="A42" s="17"/>
      <c r="B42" s="46">
        <v>6</v>
      </c>
      <c r="C42" s="43" t="s">
        <v>509</v>
      </c>
      <c r="D42" s="47" t="s">
        <v>56</v>
      </c>
      <c r="E42" s="158" t="str">
        <f>IF(AND(ABS(E25)&gt;0,ABS(E25)&lt;ABS((-1)*E19/(1-TAN(RADIANS(180+E26))/TAN(RADIANS(E21)))),ABS((-1)*E23*E18/TAN(RADIANS(E21))-E19)&gt;E25,E26&gt;=1,E26&lt;=89),"есть","нет")</f>
        <v>есть</v>
      </c>
      <c r="F42" s="122"/>
      <c r="G42" s="632"/>
      <c r="H42" s="17"/>
      <c r="I42" s="18"/>
      <c r="J42" s="17"/>
      <c r="K42" s="166"/>
      <c r="L42" s="166"/>
      <c r="M42" s="166"/>
      <c r="N42" s="166"/>
      <c r="O42" s="166"/>
      <c r="P42" s="166"/>
      <c r="Q42" s="166"/>
      <c r="R42" s="166"/>
      <c r="S42" s="122"/>
      <c r="T42" s="109"/>
      <c r="U42" s="44"/>
      <c r="V42" s="53" t="s">
        <v>100</v>
      </c>
      <c r="W42" s="97">
        <f>W34+W33/TAN(RADIANS(W35))</f>
        <v>1.7088238125870381</v>
      </c>
      <c r="X42" s="97">
        <f>W34*TAN(RADIANS(W35))/(TAN(RADIANS(W35))-TAN(RADIANS(Z36)))</f>
        <v>1.8222810720214766</v>
      </c>
      <c r="Y42" s="97">
        <f>Z34</f>
        <v>1</v>
      </c>
      <c r="Z42" s="97">
        <f>Z34</f>
        <v>1</v>
      </c>
      <c r="AA42" s="97">
        <f>Z34</f>
        <v>1</v>
      </c>
      <c r="AB42" s="97">
        <f>W34*TAN(RADIANS(W35))/(TAN(RADIANS(W35))-TAN(RADIANS(Z37)))</f>
        <v>2.2161291728892936</v>
      </c>
      <c r="AC42" s="97">
        <f>(W32+W34*TAN(RADIANS(W35)))/TAN(RADIANS(W35))</f>
        <v>3.4558809370648103</v>
      </c>
      <c r="AD42" s="97">
        <f>W32/TAN(RADIANS(W35))</f>
        <v>1.4558809370648098</v>
      </c>
      <c r="AE42" s="97">
        <f>AD42-W34</f>
        <v>-0.54411906293519019</v>
      </c>
      <c r="AF42" s="97">
        <f>(-1)*W34*TAN(RADIANS(W35))/(TAN(RADIANS(W35))-TAN(RADIANS(180-Z37)))</f>
        <v>-1.8222810720214766</v>
      </c>
      <c r="AG42" s="97">
        <f>AA42*(-1)</f>
        <v>-1</v>
      </c>
      <c r="AH42" s="97">
        <f>Z42*(-1)</f>
        <v>-1</v>
      </c>
      <c r="AI42" s="97">
        <f>Y42*(-1)</f>
        <v>-1</v>
      </c>
      <c r="AJ42" s="97">
        <f>(-1)*W34*TAN(RADIANS(W35))/(TAN(RADIANS(W35))-TAN(RADIANS(180+Z37)))</f>
        <v>-2.2161291728892936</v>
      </c>
      <c r="AK42" s="97">
        <f>(-1)*W34+(W33/TAN(RADIANS(W35)))</f>
        <v>-2.2911761874129621</v>
      </c>
      <c r="AL42" s="97">
        <f>W42</f>
        <v>1.7088238125870381</v>
      </c>
      <c r="AM42" s="122"/>
      <c r="AN42" s="123"/>
    </row>
    <row r="43" spans="1:40" x14ac:dyDescent="0.25">
      <c r="A43" s="17"/>
      <c r="B43" s="46">
        <v>7</v>
      </c>
      <c r="C43" s="43" t="s">
        <v>511</v>
      </c>
      <c r="D43" s="47" t="s">
        <v>56</v>
      </c>
      <c r="E43" s="54" t="str">
        <f>IF(E42="есть",IF(OR(AND(ABS((-1)*TAN(RADIANS(E21))/(TAN(RADIANS(E21))-TAN(RADIANS(180+E26)))-((-1)*E25/E19))&gt;=0.06,ABS((-1)*E19/(1/TAN(RADIANS(180+E26))-1/TAN(RADIANS(E21))))&lt;=E23*E18),AND(ABS((-1)*TAN(RADIANS(E21))/(TAN(RADIANS(E21))-TAN(RADIANS(180-E26)))-((-1)*E25/E19))&gt;=0.06,((-1)*TAN(RADIANS(E21))/(TAN(RADIANS(E21))-TAN(RADIANS(180-E26)))-((-1)*E25/E19))&lt;0)),"есть","нет"),"нет")</f>
        <v>есть</v>
      </c>
      <c r="F43" s="122"/>
      <c r="G43" s="632"/>
      <c r="H43" s="17"/>
      <c r="I43" s="288" t="s">
        <v>114</v>
      </c>
      <c r="J43" s="72"/>
      <c r="K43" s="354" t="str">
        <f>IF(E42="есть",IF(E43="есть","(предусмотрена)","(не возможна)"),"(не предусмотрена)")</f>
        <v>(предусмотрена)</v>
      </c>
      <c r="L43" s="166"/>
      <c r="M43" s="166"/>
      <c r="N43" s="166"/>
      <c r="O43" s="166"/>
      <c r="P43" s="166"/>
      <c r="Q43" s="166"/>
      <c r="R43" s="166"/>
      <c r="S43" s="122"/>
      <c r="T43" s="109"/>
      <c r="U43" s="44"/>
      <c r="V43" s="53" t="s">
        <v>101</v>
      </c>
      <c r="W43" s="97">
        <f>W33</f>
        <v>-0.8</v>
      </c>
      <c r="X43" s="97">
        <f>X42*TAN(RADIANS(Z36))</f>
        <v>-0.48827874163067519</v>
      </c>
      <c r="Y43" s="97">
        <f>IF(ABS(Y42)&lt;ABS(X42),Y42*TAN(RADIANS(Z36)),TAN(RADIANS(W35))*(Y42-W34))</f>
        <v>-0.2679491924311227</v>
      </c>
      <c r="Z43" s="97">
        <f>TAN(RADIANS(W35))*(Z42-W34)</f>
        <v>-2.7474774194546216</v>
      </c>
      <c r="AA43" s="97">
        <f>Y42*TAN(RADIANS(Z37))</f>
        <v>0.2679491924311227</v>
      </c>
      <c r="AB43" s="97">
        <f>AB42*TAN(RADIANS(Z37))</f>
        <v>0.59381002219873813</v>
      </c>
      <c r="AC43" s="97">
        <f>TAN(RADIANS(W35))*(AC42-W34)</f>
        <v>4.0000000000000009</v>
      </c>
      <c r="AD43" s="97">
        <f>W32</f>
        <v>4</v>
      </c>
      <c r="AE43" s="97">
        <f>W32</f>
        <v>4</v>
      </c>
      <c r="AF43" s="97">
        <f>AF42*TAN(RADIANS(180-Z37))</f>
        <v>0.48827874163067569</v>
      </c>
      <c r="AG43" s="97">
        <f>IF(ABS(AG42)&lt;ABS(AF42),AG42*TAN(RADIANS(180-Z37)),TAN(RADIANS(W35))*(AG42+W34))</f>
        <v>0.26794919243112297</v>
      </c>
      <c r="AH43" s="97">
        <f>TAN(RADIANS(W35))*(AH42-(-1)*W34)</f>
        <v>2.7474774194546216</v>
      </c>
      <c r="AI43" s="97">
        <f>AI42*TAN(RADIANS(Z37+180))</f>
        <v>-0.2679491924311227</v>
      </c>
      <c r="AJ43" s="97">
        <f>AJ42*TAN(RADIANS(180+Z37))</f>
        <v>-0.59381002219873813</v>
      </c>
      <c r="AK43" s="97">
        <f>W33</f>
        <v>-0.8</v>
      </c>
      <c r="AL43" s="97">
        <f>W43</f>
        <v>-0.8</v>
      </c>
      <c r="AM43" s="122"/>
      <c r="AN43" s="123"/>
    </row>
    <row r="44" spans="1:40" x14ac:dyDescent="0.25">
      <c r="A44" s="17"/>
      <c r="B44" s="168"/>
      <c r="C44" s="43"/>
      <c r="D44" s="54"/>
      <c r="E44" s="54"/>
      <c r="F44" s="122"/>
      <c r="G44" s="632"/>
      <c r="H44" s="17"/>
      <c r="I44" s="18"/>
      <c r="J44" s="17"/>
      <c r="K44" s="166"/>
      <c r="L44" s="166"/>
      <c r="M44" s="166"/>
      <c r="N44" s="166"/>
      <c r="O44" s="166"/>
      <c r="P44" s="166"/>
      <c r="Q44" s="166"/>
      <c r="R44" s="166"/>
      <c r="S44" s="122"/>
      <c r="T44" s="109"/>
      <c r="U44" s="44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122"/>
      <c r="AN44" s="123"/>
    </row>
    <row r="45" spans="1:40" ht="15.75" thickBot="1" x14ac:dyDescent="0.3">
      <c r="A45" s="17"/>
      <c r="B45" s="46">
        <v>8</v>
      </c>
      <c r="C45" s="43" t="s">
        <v>96</v>
      </c>
      <c r="D45" s="47" t="s">
        <v>56</v>
      </c>
      <c r="E45" s="54" t="str">
        <f>IF(E37=1,"вперед","назад")</f>
        <v>вперед</v>
      </c>
      <c r="F45" s="122"/>
      <c r="G45" s="632"/>
      <c r="H45" s="44"/>
      <c r="I45" s="590" t="s">
        <v>253</v>
      </c>
      <c r="J45" s="64"/>
      <c r="K45" s="153">
        <f>IF(AND(E43="есть",(AC47-AD47)*100/W34&gt;=5),ROUNDUP(AC59*IF(E35=1,1,2*E33)*1.1,1),"-")</f>
        <v>1.1000000000000001</v>
      </c>
      <c r="L45" s="67">
        <f>IF(AND(E43="есть",(AC47-AD47)*100/W34&gt;=5),AC60,"-")</f>
        <v>0</v>
      </c>
      <c r="M45" s="184" t="str">
        <f>IF(E43="есть",IF(E35=1,"уменьш. Z до","уменьш. U до"),"-")</f>
        <v>уменьш. Z до</v>
      </c>
      <c r="N45" s="75">
        <f>IF(AND(E43="есть",(AC47-AD47)*100/W34&gt;=5),AC59*IF(E35=1,1,2*E33),"-")</f>
        <v>1</v>
      </c>
      <c r="O45" s="188" t="str">
        <f>IF(E35=1,"Z -&gt; ","U -&gt; ")</f>
        <v xml:space="preserve">Z -&gt; </v>
      </c>
      <c r="P45" s="13">
        <v>0</v>
      </c>
      <c r="Q45" s="11">
        <v>0</v>
      </c>
      <c r="R45" s="14">
        <v>0</v>
      </c>
      <c r="S45" s="151" t="str">
        <f>IF(AND(ISNUMBER(P45),ISNUMBER(Q45),ISNUMBER(R45)),"","Err")</f>
        <v/>
      </c>
      <c r="T45" s="109"/>
      <c r="U45" s="44"/>
      <c r="V45" s="43" t="s">
        <v>109</v>
      </c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122"/>
      <c r="AN45" s="123"/>
    </row>
    <row r="46" spans="1:40" ht="15.75" thickBot="1" x14ac:dyDescent="0.3">
      <c r="A46" s="17"/>
      <c r="B46" s="46">
        <v>9</v>
      </c>
      <c r="C46" s="43" t="s">
        <v>242</v>
      </c>
      <c r="D46" s="47" t="s">
        <v>56</v>
      </c>
      <c r="E46" s="54">
        <f>E18*E23*(-1)</f>
        <v>-0.8</v>
      </c>
      <c r="F46" s="122"/>
      <c r="G46" s="632"/>
      <c r="H46" s="44"/>
      <c r="I46" s="591" t="s">
        <v>254</v>
      </c>
      <c r="J46" s="17"/>
      <c r="K46" s="155">
        <f>IF(AND(E43="есть",(AC47-AD47)*100/W34&gt;=5),AD59*IF(E35=1,1,2*E33),"-")</f>
        <v>1.9</v>
      </c>
      <c r="L46" s="69">
        <f>IF(AND(E43="есть",(AC47-AD47)*100/W34&gt;=5),AD60-5,"-")</f>
        <v>190</v>
      </c>
      <c r="M46" s="186" t="str">
        <f>IF(E43="есть","увелич. fi до","-")</f>
        <v>увелич. fi до</v>
      </c>
      <c r="N46" s="77">
        <f>IF(AND(E43="есть",(AC47-AD47)*100/W34&gt;=5),AD60,"-")</f>
        <v>195</v>
      </c>
      <c r="O46" s="188" t="s">
        <v>292</v>
      </c>
      <c r="P46" s="13">
        <v>0</v>
      </c>
      <c r="Q46" s="11">
        <v>0</v>
      </c>
      <c r="R46" s="14">
        <v>0</v>
      </c>
      <c r="S46" s="151" t="str">
        <f>IF(AND(ISNUMBER(P46),ISNUMBER(Q46),ISNUMBER(R46)),"","Err")</f>
        <v/>
      </c>
      <c r="T46" s="109"/>
      <c r="U46" s="44"/>
      <c r="V46" s="43"/>
      <c r="W46" s="53">
        <v>1</v>
      </c>
      <c r="X46" s="53">
        <v>2</v>
      </c>
      <c r="Y46" s="53">
        <v>3</v>
      </c>
      <c r="Z46" s="53">
        <v>4</v>
      </c>
      <c r="AA46" s="53">
        <v>5</v>
      </c>
      <c r="AB46" s="53">
        <v>6</v>
      </c>
      <c r="AC46" s="53">
        <v>7</v>
      </c>
      <c r="AD46" s="53">
        <v>8</v>
      </c>
      <c r="AE46" s="53">
        <v>9</v>
      </c>
      <c r="AF46" s="53">
        <v>10</v>
      </c>
      <c r="AG46" s="53">
        <v>11</v>
      </c>
      <c r="AH46" s="53">
        <v>12</v>
      </c>
      <c r="AI46" s="53">
        <v>1</v>
      </c>
      <c r="AJ46" s="53"/>
      <c r="AK46" s="53"/>
      <c r="AL46" s="53"/>
      <c r="AM46" s="122"/>
      <c r="AN46" s="123"/>
    </row>
    <row r="47" spans="1:40" ht="15.75" thickBot="1" x14ac:dyDescent="0.3">
      <c r="A47" s="17"/>
      <c r="B47" s="48"/>
      <c r="C47" s="48"/>
      <c r="D47" s="48"/>
      <c r="E47" s="48"/>
      <c r="F47" s="122"/>
      <c r="G47" s="632"/>
      <c r="H47" s="44"/>
      <c r="I47" s="74"/>
      <c r="J47" s="17"/>
      <c r="K47" s="166"/>
      <c r="L47" s="44"/>
      <c r="M47" s="44"/>
      <c r="N47" s="44"/>
      <c r="O47" s="44"/>
      <c r="P47" s="44"/>
      <c r="Q47" s="336"/>
      <c r="R47" s="336"/>
      <c r="S47" s="122"/>
      <c r="T47" s="109"/>
      <c r="U47" s="44"/>
      <c r="V47" s="43" t="s">
        <v>21</v>
      </c>
      <c r="W47" s="97">
        <f>IF(Z32=0,W42,IF(AND(ABS(W43)&lt;=ABS(Y43),ABS(Z34)&lt;ABS(W34)),Z34,IF(ABS(W43)&lt;=ABS(X43),IF(ABS(W43)&gt;ABS(X43),(W43/TAN(RADIANS(Z36))),W42),W42)))</f>
        <v>1.7088238125870381</v>
      </c>
      <c r="X47" s="97">
        <f>IF(Z32=0,W42,IF(ABS(W43)&lt;=ABS(Y43),W47,IF(ABS(W43)&lt;=ABS(X43),IF(ABS(W43)&gt;ABS(X43),(W43/TAN(RADIANS(Z36))),W42),X42)))</f>
        <v>1.8222810720214766</v>
      </c>
      <c r="Y47" s="97">
        <f>IF(Z32=0,W42,IF(ABS(W43)&lt;=ABS(Y43),W47,Z34))</f>
        <v>1</v>
      </c>
      <c r="Z47" s="97">
        <f>IF(Z32=1,AA42,W47)</f>
        <v>1</v>
      </c>
      <c r="AA47" s="97">
        <f>IF(Z32=0,W47,AB42)</f>
        <v>2.2161291728892936</v>
      </c>
      <c r="AB47" s="97">
        <f>AC42</f>
        <v>3.4558809370648103</v>
      </c>
      <c r="AC47" s="97">
        <f>AE42</f>
        <v>-0.54411906293519019</v>
      </c>
      <c r="AD47" s="97">
        <f>IF(AA32=0,AH47,AF42)</f>
        <v>-1.8222810720214766</v>
      </c>
      <c r="AE47" s="97">
        <f>IF(AA32=1,IF(ABS(AI42)&gt;ABS(AK42),AK42,AG42),AH47)</f>
        <v>-1</v>
      </c>
      <c r="AF47" s="97">
        <f>IF(AA32=0,AK42,IF(ABS(AK43)&lt;=ABS(AI43),AH47,AA34))</f>
        <v>-1</v>
      </c>
      <c r="AG47" s="97">
        <f>IF(AA32=0,AK42,IF(ABS(AK43)&lt;=ABS(AI43),AH47,IF(ABS(AK43)&lt;=ABS(AJ43),(AK43/TAN(RADIANS(AA36))),AJ42)))</f>
        <v>-2.2161291728892936</v>
      </c>
      <c r="AH47" s="97">
        <f>IF(AA32=0,AK42,IF(ABS(AK43)&lt;=ABS(AI43),IF(ABS(AI42)&gt;ABS(AK42),AK42,AA34),IF(ABS(AK43)&lt;=ABS(AJ43),(AK43/TAN(RADIANS(AA36))),AK42)))</f>
        <v>-2.2911761874129621</v>
      </c>
      <c r="AI47" s="97">
        <f>W47</f>
        <v>1.7088238125870381</v>
      </c>
      <c r="AJ47" s="43"/>
      <c r="AK47" s="43"/>
      <c r="AL47" s="43"/>
      <c r="AM47" s="122"/>
      <c r="AN47" s="123"/>
    </row>
    <row r="48" spans="1:40" ht="15.75" x14ac:dyDescent="0.25">
      <c r="A48" s="17"/>
      <c r="B48" s="43"/>
      <c r="C48" s="43"/>
      <c r="D48" s="43"/>
      <c r="E48" s="43"/>
      <c r="F48" s="122"/>
      <c r="G48" s="632"/>
      <c r="H48" s="44"/>
      <c r="I48" s="8" t="s">
        <v>514</v>
      </c>
      <c r="J48" s="4"/>
      <c r="K48" s="4"/>
      <c r="L48" s="4"/>
      <c r="M48" s="4"/>
      <c r="N48" s="4"/>
      <c r="O48" s="4"/>
      <c r="P48" s="4"/>
      <c r="Q48" s="4"/>
      <c r="R48" s="4"/>
      <c r="S48" s="122"/>
      <c r="T48" s="109"/>
      <c r="U48" s="44"/>
      <c r="V48" s="43" t="s">
        <v>45</v>
      </c>
      <c r="W48" s="97">
        <f>W43</f>
        <v>-0.8</v>
      </c>
      <c r="X48" s="97">
        <f>IF(Z32=0,W48,IF(ABS(W43)&lt;=ABS(Y43),W48,IF(ABS(W43)&lt;=ABS(X43),W48,X43)))</f>
        <v>-0.48827874163067519</v>
      </c>
      <c r="Y48" s="97">
        <f>IF(Z32=0,W43,IF(ABS(W43)&lt;=ABS(Y43),W48,Y43))</f>
        <v>-0.2679491924311227</v>
      </c>
      <c r="Z48" s="97">
        <f>IF(Z32=1,AA43,W48)</f>
        <v>0.2679491924311227</v>
      </c>
      <c r="AA48" s="97">
        <f>IF(Z32=0,W48,AB43)</f>
        <v>0.59381002219873813</v>
      </c>
      <c r="AB48" s="97">
        <f>AC43</f>
        <v>4.0000000000000009</v>
      </c>
      <c r="AC48" s="97">
        <f>AE43</f>
        <v>4</v>
      </c>
      <c r="AD48" s="97">
        <f>IF(AA32=0,AH48,AF43)</f>
        <v>0.48827874163067569</v>
      </c>
      <c r="AE48" s="97">
        <f>IF(AA32=1,IF(ABS(AI42)&gt;ABS(AK42),AK43,AG43),AH48)</f>
        <v>0.26794919243112297</v>
      </c>
      <c r="AF48" s="97">
        <f>IF(AA32=0,AK43,IF(ABS(AK43)&lt;=ABS(AI43),AH48,AI43))</f>
        <v>-0.2679491924311227</v>
      </c>
      <c r="AG48" s="97">
        <f>IF(Z32=0,AH48,IF(ABS(AK43)&lt;=ABS(AI43),AH48,IF(ABS(AK43)&lt;=ABS(AJ43),AH48,AJ43)))</f>
        <v>-0.59381002219873813</v>
      </c>
      <c r="AH48" s="97">
        <f>AK43</f>
        <v>-0.8</v>
      </c>
      <c r="AI48" s="97">
        <f>W48</f>
        <v>-0.8</v>
      </c>
      <c r="AJ48" s="43"/>
      <c r="AK48" s="43"/>
      <c r="AL48" s="43"/>
      <c r="AM48" s="122"/>
      <c r="AN48" s="123"/>
    </row>
    <row r="49" spans="1:40" ht="18" x14ac:dyDescent="0.25">
      <c r="A49" s="17"/>
      <c r="B49" s="43"/>
      <c r="C49" s="43"/>
      <c r="D49" s="54"/>
      <c r="E49" s="54"/>
      <c r="F49" s="122"/>
      <c r="G49" s="632"/>
      <c r="H49" s="44"/>
      <c r="I49" s="111"/>
      <c r="J49" s="112"/>
      <c r="K49" s="112"/>
      <c r="L49" s="112"/>
      <c r="M49" s="112"/>
      <c r="N49" s="112"/>
      <c r="O49" s="112"/>
      <c r="P49" s="112"/>
      <c r="Q49" s="113"/>
      <c r="R49" s="113"/>
      <c r="S49" s="122"/>
      <c r="T49" s="109"/>
      <c r="U49" s="44"/>
      <c r="V49" s="43"/>
      <c r="W49" s="43"/>
      <c r="X49" s="43"/>
      <c r="Y49" s="80"/>
      <c r="Z49" s="54"/>
      <c r="AA49" s="54"/>
      <c r="AB49" s="43"/>
      <c r="AC49" s="43"/>
      <c r="AD49" s="43"/>
      <c r="AE49" s="43"/>
      <c r="AF49" s="43"/>
      <c r="AG49" s="43"/>
      <c r="AH49" s="53"/>
      <c r="AI49" s="53"/>
      <c r="AJ49" s="53"/>
      <c r="AK49" s="53"/>
      <c r="AL49" s="53"/>
      <c r="AM49" s="122"/>
      <c r="AN49" s="123"/>
    </row>
    <row r="50" spans="1:40" x14ac:dyDescent="0.25">
      <c r="A50" s="17"/>
      <c r="B50" s="43"/>
      <c r="C50" s="43"/>
      <c r="D50" s="54"/>
      <c r="E50" s="43"/>
      <c r="F50" s="122"/>
      <c r="G50" s="632"/>
      <c r="H50" s="44"/>
      <c r="I50" s="114"/>
      <c r="J50" s="115"/>
      <c r="K50" s="115"/>
      <c r="L50" s="115"/>
      <c r="M50" s="115"/>
      <c r="N50" s="142"/>
      <c r="O50" s="142"/>
      <c r="P50" s="142"/>
      <c r="Q50" s="142"/>
      <c r="R50" s="142"/>
      <c r="S50" s="122"/>
      <c r="T50" s="109"/>
      <c r="U50" s="44"/>
      <c r="V50" s="60" t="s">
        <v>120</v>
      </c>
      <c r="W50" s="97">
        <f t="shared" ref="W50:AG50" si="0">SQRT(POWER(W47,2)+POWER(W48,2))</f>
        <v>1.8868171142070185</v>
      </c>
      <c r="X50" s="97">
        <f t="shared" si="0"/>
        <v>1.8865641878759858</v>
      </c>
      <c r="Y50" s="97">
        <f t="shared" si="0"/>
        <v>1.035276180410083</v>
      </c>
      <c r="Z50" s="97">
        <f t="shared" si="0"/>
        <v>1.035276180410083</v>
      </c>
      <c r="AA50" s="97">
        <f t="shared" si="0"/>
        <v>2.2943057454041842</v>
      </c>
      <c r="AB50" s="97">
        <f t="shared" si="0"/>
        <v>5.2861245777192911</v>
      </c>
      <c r="AC50" s="97">
        <f t="shared" si="0"/>
        <v>4.0368385593988609</v>
      </c>
      <c r="AD50" s="97">
        <f t="shared" si="0"/>
        <v>1.886564187875986</v>
      </c>
      <c r="AE50" s="97">
        <f t="shared" si="0"/>
        <v>1.0352761804100832</v>
      </c>
      <c r="AF50" s="97">
        <f t="shared" si="0"/>
        <v>1.035276180410083</v>
      </c>
      <c r="AG50" s="97">
        <f t="shared" si="0"/>
        <v>2.2943057454041842</v>
      </c>
      <c r="AH50" s="97">
        <f>SQRT(POWER(AH47,2)+POWER(AH48,2))</f>
        <v>2.4268268009415501</v>
      </c>
      <c r="AI50" s="97">
        <f>SQRT(POWER(AI47,2)+POWER(AI48,2))</f>
        <v>1.8868171142070185</v>
      </c>
      <c r="AJ50" s="17"/>
      <c r="AK50" s="17"/>
      <c r="AL50" s="17"/>
      <c r="AM50" s="122"/>
      <c r="AN50" s="123"/>
    </row>
    <row r="51" spans="1:40" ht="15.75" customHeight="1" x14ac:dyDescent="0.25">
      <c r="A51" s="17"/>
      <c r="B51" s="43"/>
      <c r="C51" s="43"/>
      <c r="D51" s="54"/>
      <c r="E51" s="43"/>
      <c r="F51" s="122"/>
      <c r="G51" s="632"/>
      <c r="H51" s="44"/>
      <c r="I51" s="738" t="s">
        <v>153</v>
      </c>
      <c r="J51" s="114"/>
      <c r="K51" s="124" t="str">
        <f>IF(OR(ABS(K57) &gt; 5,ABS(K59) &gt; 5,ABS(K61) &gt; 5,ABS(K63) &gt; 5,IF(K65&lt;&gt;"-",ABS(K67)&gt;5,0),IF(K69&lt;&gt;"-",ABS(K71)&gt;5,0)),"","Норма")</f>
        <v>Норма</v>
      </c>
      <c r="L51" s="124" t="str">
        <f>IF(OR(ABS(L57) &gt; 5,ABS(L59) &gt; 5,ABS(L61) &gt; 5,ABS(L63) &gt; 5,IF(L65&lt;&gt;"-",ABS(L67)&gt;5,0),IF(L69&lt;&gt;"-",ABS(L71)&gt;5,0)),"","Норма")</f>
        <v>Норма</v>
      </c>
      <c r="M51" s="128" t="str">
        <f>IF(OR(ABS(M57) &gt; 5,ABS(M59) &gt; 5,ABS(M61) &gt; 5,ABS(M63) &gt; 5,IF(M65&lt;&gt;"-",ABS(M67)&gt;5,0),IF(M69&lt;&gt;"-",ABS(M71)&gt;5,0)),"","Норма")</f>
        <v>Норма</v>
      </c>
      <c r="N51" s="142"/>
      <c r="O51" s="142"/>
      <c r="P51" s="142"/>
      <c r="Q51" s="142"/>
      <c r="R51" s="142"/>
      <c r="S51" s="122"/>
      <c r="T51" s="109"/>
      <c r="U51" s="44"/>
      <c r="V51" s="60" t="s">
        <v>121</v>
      </c>
      <c r="W51" s="98">
        <f>IF(W47=0,90,DEGREES(ATAN(W48/W47)))+180*AD32</f>
        <v>-25.087032478517187</v>
      </c>
      <c r="X51" s="98">
        <f>IF(X47=0,90,DEGREES(ATAN(X48/X47)))+180*AD32</f>
        <v>-14.999999999999998</v>
      </c>
      <c r="Y51" s="98">
        <f>IF(Y47=0,90,DEGREES(ATAN(Y48/Y47)))+180*AD32</f>
        <v>-14.999999999999998</v>
      </c>
      <c r="Z51" s="98">
        <f>IF(Z47=0,90,DEGREES(ATAN(Z48/Z47)))+180*AD32</f>
        <v>14.999999999999998</v>
      </c>
      <c r="AA51" s="98">
        <f>IF(AA47=0,90,DEGREES(ATAN(AA48/AA47)))+180*AD32</f>
        <v>14.999999999999998</v>
      </c>
      <c r="AB51" s="98">
        <f>IF(AB47=0,90,DEGREES(ATAN(AB48/AB47)))+180*AD32</f>
        <v>49.173960989071304</v>
      </c>
      <c r="AC51" s="98">
        <f>IF(AC47=0,90,DEGREES(ATAN(AC48/AC47)))+180*AD32</f>
        <v>-82.253614980489587</v>
      </c>
      <c r="AD51" s="98">
        <f>IF(AD47=0,90,DEGREES(ATAN(AD48/AD47)))+180*AD32</f>
        <v>-15.000000000000014</v>
      </c>
      <c r="AE51" s="98">
        <f>IF(AE47=0,90,DEGREES(ATAN(AE48/AE47)))+180*(1-AD32)</f>
        <v>165</v>
      </c>
      <c r="AF51" s="98">
        <f>IF(AF47=0,90,DEGREES(ATAN(AF48/AF47)))+180*(1-AD32)</f>
        <v>195</v>
      </c>
      <c r="AG51" s="98">
        <f>IF(AG47=0,90,DEGREES(ATAN(AG48/AG47)))+180*AD32</f>
        <v>14.999999999999998</v>
      </c>
      <c r="AH51" s="98">
        <f>IF(AH47=0,90,DEGREES(ATAN(AH48/AH47)))+180*AD32</f>
        <v>19.247446901895312</v>
      </c>
      <c r="AI51" s="98">
        <f>IF(AI47=0,90,DEGREES(ATAN(AI48/AI47)))+180*AD32</f>
        <v>-25.087032478517187</v>
      </c>
      <c r="AJ51" s="17"/>
      <c r="AK51" s="17"/>
      <c r="AL51" s="17"/>
      <c r="AM51" s="122"/>
      <c r="AN51" s="123"/>
    </row>
    <row r="52" spans="1:40" x14ac:dyDescent="0.25">
      <c r="A52" s="17"/>
      <c r="B52" s="43"/>
      <c r="C52" s="43"/>
      <c r="D52" s="43"/>
      <c r="E52" s="43"/>
      <c r="F52" s="122"/>
      <c r="G52" s="632"/>
      <c r="H52" s="44"/>
      <c r="I52" s="738"/>
      <c r="J52" s="125"/>
      <c r="K52" s="139" t="str">
        <f>IF(K51="Норма","","Погрешность")</f>
        <v/>
      </c>
      <c r="L52" s="140" t="str">
        <f>IF(L51="Норма","","Погрешность")</f>
        <v/>
      </c>
      <c r="M52" s="138" t="str">
        <f>IF(M51="Норма","","Погрешность")</f>
        <v/>
      </c>
      <c r="N52" s="142"/>
      <c r="O52" s="142"/>
      <c r="P52" s="142"/>
      <c r="Q52" s="142"/>
      <c r="R52" s="142"/>
      <c r="S52" s="122"/>
      <c r="T52" s="109"/>
      <c r="U52" s="44"/>
      <c r="V52" s="17"/>
      <c r="W52" s="17"/>
      <c r="X52" s="17"/>
      <c r="Y52" s="17"/>
      <c r="Z52" s="99"/>
      <c r="AA52" s="64"/>
      <c r="AB52" s="100"/>
      <c r="AC52" s="64"/>
      <c r="AD52" s="64"/>
      <c r="AE52" s="17"/>
      <c r="AF52" s="17"/>
      <c r="AG52" s="17"/>
      <c r="AH52" s="43"/>
      <c r="AI52" s="43"/>
      <c r="AJ52" s="43"/>
      <c r="AK52" s="43"/>
      <c r="AL52" s="43"/>
      <c r="AM52" s="122"/>
      <c r="AN52" s="123"/>
    </row>
    <row r="53" spans="1:40" ht="15.75" thickBot="1" x14ac:dyDescent="0.3">
      <c r="A53" s="17"/>
      <c r="B53" s="17"/>
      <c r="C53" s="17"/>
      <c r="D53" s="17"/>
      <c r="E53" s="17"/>
      <c r="F53" s="122"/>
      <c r="G53" s="632"/>
      <c r="H53" s="44"/>
      <c r="I53" s="17"/>
      <c r="J53" s="17"/>
      <c r="K53" s="17"/>
      <c r="L53" s="43"/>
      <c r="M53" s="43"/>
      <c r="N53" s="143"/>
      <c r="O53" s="143"/>
      <c r="P53" s="143"/>
      <c r="Q53" s="143"/>
      <c r="R53" s="143"/>
      <c r="S53" s="122"/>
      <c r="T53" s="109"/>
      <c r="U53" s="44"/>
      <c r="V53" s="17"/>
      <c r="W53" s="17"/>
      <c r="X53" s="17"/>
      <c r="Y53" s="17"/>
      <c r="Z53" s="99"/>
      <c r="AA53" s="64"/>
      <c r="AB53" s="64"/>
      <c r="AC53" s="64"/>
      <c r="AD53" s="64"/>
      <c r="AE53" s="17"/>
      <c r="AF53" s="17"/>
      <c r="AG53" s="43"/>
      <c r="AH53" s="43"/>
      <c r="AI53" s="43"/>
      <c r="AJ53" s="43"/>
      <c r="AK53" s="43"/>
      <c r="AL53" s="43"/>
      <c r="AM53" s="122"/>
      <c r="AN53" s="123"/>
    </row>
    <row r="54" spans="1:40" x14ac:dyDescent="0.25">
      <c r="A54" s="17"/>
      <c r="B54" s="17"/>
      <c r="C54" s="17"/>
      <c r="D54" s="17"/>
      <c r="E54" s="17"/>
      <c r="F54" s="122"/>
      <c r="G54" s="632"/>
      <c r="H54" s="44"/>
      <c r="I54" s="721" t="s">
        <v>0</v>
      </c>
      <c r="J54" s="739"/>
      <c r="K54" s="737" t="s">
        <v>124</v>
      </c>
      <c r="L54" s="725"/>
      <c r="M54" s="726"/>
      <c r="N54" s="78"/>
      <c r="O54" s="116" t="s">
        <v>154</v>
      </c>
      <c r="P54" s="78"/>
      <c r="Q54" s="18"/>
      <c r="R54" s="143"/>
      <c r="S54" s="122"/>
      <c r="T54" s="109"/>
      <c r="U54" s="44"/>
      <c r="V54" s="43" t="s">
        <v>112</v>
      </c>
      <c r="W54" s="43"/>
      <c r="X54" s="43"/>
      <c r="Y54" s="43"/>
      <c r="Z54" s="99"/>
      <c r="AA54" s="83"/>
      <c r="AB54" s="83"/>
      <c r="AC54" s="83"/>
      <c r="AD54" s="83"/>
      <c r="AE54" s="43"/>
      <c r="AF54" s="43"/>
      <c r="AG54" s="43"/>
      <c r="AH54" s="43"/>
      <c r="AI54" s="43"/>
      <c r="AJ54" s="43"/>
      <c r="AK54" s="43"/>
      <c r="AL54" s="43"/>
      <c r="AM54" s="122"/>
      <c r="AN54" s="123"/>
    </row>
    <row r="55" spans="1:40" ht="15.75" thickBot="1" x14ac:dyDescent="0.3">
      <c r="A55" s="17"/>
      <c r="B55" s="17"/>
      <c r="C55" s="17"/>
      <c r="D55" s="17"/>
      <c r="E55" s="17"/>
      <c r="F55" s="122"/>
      <c r="G55" s="632"/>
      <c r="H55" s="44"/>
      <c r="I55" s="740"/>
      <c r="J55" s="741"/>
      <c r="K55" s="338" t="s">
        <v>125</v>
      </c>
      <c r="L55" s="338" t="s">
        <v>126</v>
      </c>
      <c r="M55" s="339" t="s">
        <v>127</v>
      </c>
      <c r="N55" s="144"/>
      <c r="O55" s="116" t="s">
        <v>155</v>
      </c>
      <c r="P55" s="144"/>
      <c r="Q55" s="18"/>
      <c r="R55" s="143"/>
      <c r="S55" s="122"/>
      <c r="T55" s="109"/>
      <c r="U55" s="44"/>
      <c r="V55" s="43"/>
      <c r="W55" s="53">
        <v>1</v>
      </c>
      <c r="X55" s="53" t="s">
        <v>258</v>
      </c>
      <c r="Y55" s="53" t="s">
        <v>255</v>
      </c>
      <c r="Z55" s="53">
        <v>4</v>
      </c>
      <c r="AA55" s="53">
        <v>5</v>
      </c>
      <c r="AB55" s="53">
        <v>6</v>
      </c>
      <c r="AC55" s="53" t="s">
        <v>256</v>
      </c>
      <c r="AD55" s="53" t="s">
        <v>257</v>
      </c>
      <c r="AE55" s="43"/>
      <c r="AF55" s="43"/>
      <c r="AG55" s="682" t="s">
        <v>559</v>
      </c>
      <c r="AH55" s="683"/>
      <c r="AI55" s="64"/>
      <c r="AJ55" s="43"/>
      <c r="AK55" s="43"/>
      <c r="AL55" s="43"/>
      <c r="AM55" s="122"/>
      <c r="AN55" s="123"/>
    </row>
    <row r="56" spans="1:40" x14ac:dyDescent="0.25">
      <c r="A56" s="17"/>
      <c r="B56" s="17"/>
      <c r="C56" s="17"/>
      <c r="D56" s="17"/>
      <c r="E56" s="17"/>
      <c r="F56" s="122"/>
      <c r="G56" s="632"/>
      <c r="H56" s="44"/>
      <c r="I56" s="730" t="s">
        <v>47</v>
      </c>
      <c r="J56" s="731"/>
      <c r="K56" s="340">
        <f>ABS(IF(OR(P34="",P34=0),N34,P34)*SIN(RADIANS(L34))/IF(E35=2,2*E33,1))</f>
        <v>4</v>
      </c>
      <c r="L56" s="340">
        <f>ABS(IF(OR(Q34="",Q34=0),N34,Q34)*SIN(RADIANS(L34))/IF(E35=2,2*E33,1))</f>
        <v>4</v>
      </c>
      <c r="M56" s="341">
        <f>ABS(IF(OR(R34="",R34=0),N34,R34)*SIN(RADIANS(L34))/IF(E35=2,2*E33,1))</f>
        <v>4</v>
      </c>
      <c r="N56" s="145"/>
      <c r="O56" s="116" t="s">
        <v>156</v>
      </c>
      <c r="P56" s="53"/>
      <c r="Q56" s="53"/>
      <c r="R56" s="143"/>
      <c r="S56" s="122"/>
      <c r="T56" s="109"/>
      <c r="U56" s="44"/>
      <c r="V56" s="43" t="s">
        <v>21</v>
      </c>
      <c r="W56" s="97">
        <f>0</f>
        <v>0</v>
      </c>
      <c r="X56" s="97">
        <f>IF(Z33=1,Z34,W34)</f>
        <v>1</v>
      </c>
      <c r="Y56" s="97">
        <f>IF(AND(ABS(Z34)&lt;=ABS(W34/(1-TAN(RADIANS(Z37))/TAN(RADIANS(W35)))),Z33=1),ROUNDDOWN((Z47+0.75*(AA47-Z47))/COS(RADIANS(Z37)),1)*COS(RADIANS(Z37)),X56)</f>
        <v>1.8352590699492297</v>
      </c>
      <c r="Z56" s="97">
        <f>IF(AND(W43*AD43&lt;=0,OR(ABS(W34)&lt;=ABS(Z34),Z33=0)),W34,(W34*TAN(RADIANS(W35))/(TAN(RADIANS(W35))-TAN(RADIANS(ROUND(DEGREES(ATAN(AA48/AA47))+3,0))))))</f>
        <v>2.2682451634636815</v>
      </c>
      <c r="AA56" s="97">
        <f>W34*POWER(SIN(RADIANS(W35)),2)+COS(RADIANS(W35))*SQRT(POWER(ROUNDDOWN(0.9*AB50,IF(AB50&lt;1,2,1)),2)-POWER(W34,2)*POWER(SIN(RADIANS(W35)),2))</f>
        <v>3.239429394373861</v>
      </c>
      <c r="AB56" s="97">
        <f>IF(AB47*AC47&lt;0,0,AD42)</f>
        <v>0</v>
      </c>
      <c r="AC56" s="97">
        <f>IF(AA33=1,AA34,W56)</f>
        <v>-1</v>
      </c>
      <c r="AD56" s="97">
        <f>IF(AND(AA33=1,ABS((-1)*E19/(1/TAN(RADIANS(180+E26))-1/TAN(RADIANS(E21))))&lt;=E23*E18),ROUNDDOWN((AF47+0.75*(AG47-AF47))/COS(RADIANS(AA36)),1)*COS(RADIANS(AA36)),IF(AND(AA33=1,((-1)*TAN(RADIANS(E21))/(TAN(RADIANS(E21))-TAN(RADIANS(180-E26)))-((-1)*E25/E19))&lt;0),ROUNDDOWN((AE47+0.75*(AD47-AE47))/COS(RADIANS(AA37)),1)*COS(RADIANS(AA37)),AC56))</f>
        <v>-1.8352590699492297</v>
      </c>
      <c r="AE56" s="43"/>
      <c r="AF56" s="43"/>
      <c r="AG56" s="685" t="s">
        <v>560</v>
      </c>
      <c r="AH56" s="685" t="str">
        <f>CONCATENATE("Уставки РС:",CHAR(10),"   - ",D18," = ",E18," Ом,",CHAR(10),"   - ",D19," = ",E19," Ом,",CHAR(10),"   - ",D21," = ",E21,CHAR(176),",",CHAR(10),"   - ",D23," = ",E23," (",E46," Ом)",",",CHAR(10),"   - ",D25," = ",E25," Ом,",CHAR(10),"   - ",D26," = ",E26,CHAR(176),".")</f>
        <v>Уставки РС:
   - Xуст = 4 Ом,
   - Rуст = 2 Ом,
   - fi_1 = 70°,
   - k см = 0,2 (-0,8 Ом),
   - Rнагр = 1 Ом,
   - fi_нагр = 15°.</v>
      </c>
      <c r="AI56" s="64" t="s">
        <v>56</v>
      </c>
      <c r="AJ56" s="43"/>
      <c r="AK56" s="43"/>
      <c r="AL56" s="43"/>
      <c r="AM56" s="122"/>
      <c r="AN56" s="123"/>
    </row>
    <row r="57" spans="1:40" x14ac:dyDescent="0.25">
      <c r="A57" s="17"/>
      <c r="B57" s="17"/>
      <c r="C57" s="17"/>
      <c r="D57" s="17"/>
      <c r="E57" s="17"/>
      <c r="F57" s="122"/>
      <c r="G57" s="632"/>
      <c r="H57" s="44"/>
      <c r="I57" s="732" t="s">
        <v>54</v>
      </c>
      <c r="J57" s="733"/>
      <c r="K57" s="584">
        <f>(K56-E18)*100/E18</f>
        <v>0</v>
      </c>
      <c r="L57" s="584">
        <f>(L56-E18)*100/E18</f>
        <v>0</v>
      </c>
      <c r="M57" s="585">
        <f>(M56-E18)*100/E18</f>
        <v>0</v>
      </c>
      <c r="N57" s="172" t="str">
        <f>IF(OR(IF(ISNUMBER(K57),IF(ABS(K57)&gt;5,1,0),0),IF(ISNUMBER(L57),IF(ABS(L57)&gt;5,1,0),0),IF(ISNUMBER(M57),IF(ABS(M57)&gt;5,1,0),0)),"&lt;= Err","")</f>
        <v/>
      </c>
      <c r="O57" s="143"/>
      <c r="P57" s="53"/>
      <c r="Q57" s="53"/>
      <c r="R57" s="143"/>
      <c r="S57" s="122"/>
      <c r="T57" s="109"/>
      <c r="U57" s="44"/>
      <c r="V57" s="43" t="s">
        <v>45</v>
      </c>
      <c r="W57" s="97">
        <f>W48</f>
        <v>-0.8</v>
      </c>
      <c r="X57" s="97">
        <f>IF(Z33=1,IF(Y48*Z48&lt;=0,0,X56*TAN(RADIANS(ROUNDUP(DEGREES(ATAN(Y48/Y47))+3,0)))),0)</f>
        <v>0</v>
      </c>
      <c r="Y57" s="97">
        <f>IF(AND(ABS(Z34)&lt;=ABS(W34/(1-TAN(RADIANS(Z37))/TAN(RADIANS(W35)))),Z33=1),Y56*TAN(RADIANS(Z37)),X57)</f>
        <v>0.49175618569478941</v>
      </c>
      <c r="Z57" s="97">
        <f>IF(AND(W43*AD43&lt;=0,OR(ABS(W34)&lt;=ABS(Z34),Z33=0)),0,(Z56*TAN(RADIANS(ROUND(DEGREES(ATAN(AA48/AA47))+3,0)))))</f>
        <v>0.73699752949437825</v>
      </c>
      <c r="AA57" s="97">
        <f>TAN(RADIANS(W35))*(AA56-W34)</f>
        <v>3.4053042740505002</v>
      </c>
      <c r="AB57" s="97">
        <f>AD43</f>
        <v>4</v>
      </c>
      <c r="AC57" s="97">
        <f>IF(AA33=1,IF(AE48*AF48&lt;=0,0,AC56*TAN(RADIANS(ROUNDUP(DEGREES(ATAN(AE48/AE47))+3,0)))),W57)</f>
        <v>0</v>
      </c>
      <c r="AD57" s="97">
        <f>IF(AND(AA33=1,ABS((-1)*E19/(1/TAN(RADIANS(180+E26))-1/TAN(RADIANS(E21))))&lt;=E23*E18),AD56*TAN(RADIANS(AA36)),IF(AND(AA33=1,((-1)*TAN(RADIANS(E21))/(TAN(RADIANS(E21))-TAN(RADIANS(180-E26)))-((-1)*E25/E19))&lt;0),AD56*TAN(RADIANS(AA37)),W57))</f>
        <v>-0.49175618569478941</v>
      </c>
      <c r="AE57" s="43"/>
      <c r="AF57" s="43"/>
      <c r="AG57" s="685" t="s">
        <v>561</v>
      </c>
      <c r="AH57" s="685" t="str">
        <f>CONCATENATE("Характеристика",CHAR(10),"ненаправленного РС.",CHAR(10),CHAR(10),AH56)</f>
        <v>Характеристика
ненаправленного РС.
Уставки РС:
   - Xуст = 4 Ом,
   - Rуст = 2 Ом,
   - fi_1 = 70°,
   - k см = 0,2 (-0,8 Ом),
   - Rнагр = 1 Ом,
   - fi_нагр = 15°.</v>
      </c>
      <c r="AI57" s="64" t="s">
        <v>56</v>
      </c>
      <c r="AJ57" s="43"/>
      <c r="AK57" s="43"/>
      <c r="AL57" s="43"/>
      <c r="AM57" s="122"/>
      <c r="AN57" s="123"/>
    </row>
    <row r="58" spans="1:40" x14ac:dyDescent="0.25">
      <c r="A58" s="17"/>
      <c r="B58" s="17"/>
      <c r="C58" s="17"/>
      <c r="D58" s="17"/>
      <c r="E58" s="17"/>
      <c r="F58" s="122"/>
      <c r="G58" s="632"/>
      <c r="H58" s="44"/>
      <c r="I58" s="734" t="s">
        <v>46</v>
      </c>
      <c r="J58" s="735"/>
      <c r="K58" s="342">
        <f>ABS(IF(OR(P35="",P35=0,P36="",P36=0),N35*COS(RADIANS(L35))-(K36*COS(RADIANS(N36))-N35*COS(RADIANS(L35)))*N35*SIN(RADIANS(L35))/(K36*SIN(RADIANS(N36))-N35*SIN(RADIANS(L35))),P35*COS(RADIANS(L35))-(K36*COS(RADIANS(P36))-P35*COS(RADIANS(L35)))*P35*SIN(RADIANS(L35))/(K36*SIN(RADIANS(P36))-P35*SIN(RADIANS(L35))))/IF(E35=2,2*E33,1))</f>
        <v>1.9999999999999998</v>
      </c>
      <c r="L58" s="342">
        <f>ABS(IF(OR(Q35="",Q35=0,Q36="",Q36=0),N35*COS(RADIANS(L35))-(K36*COS(RADIANS(N36))-N35*COS(RADIANS(L35)))*N35*SIN(RADIANS(L35))/(K36*SIN(RADIANS(N36))-N35*SIN(RADIANS(L35))),Q35*COS(RADIANS(L35))-(K36*COS(RADIANS(Q36))-Q35*COS(RADIANS(L35)))*Q35*SIN(RADIANS(L35))/(K36*SIN(RADIANS(Q36))-Q35*SIN(RADIANS(L35))))/IF(E35=2,2*E33,1))</f>
        <v>1.9999999999999998</v>
      </c>
      <c r="M58" s="343">
        <f>ABS(IF(OR(R35="",R35=0,R36="",R36=0),N35*COS(RADIANS(L35))-(K36*COS(RADIANS(N36))-N35*COS(RADIANS(L35)))*N35*SIN(RADIANS(L35))/(K36*SIN(RADIANS(N36))-N35*SIN(RADIANS(L35))),R35*COS(RADIANS(L35))-(K36*COS(RADIANS(R36))-R35*COS(RADIANS(L35)))*R35*SIN(RADIANS(L35))/(K36*SIN(RADIANS(R36))-R35*SIN(RADIANS(L35))))/IF(E35=2,2*E33,1))</f>
        <v>1.9999999999999998</v>
      </c>
      <c r="N58" s="145"/>
      <c r="O58" s="143"/>
      <c r="P58" s="53"/>
      <c r="Q58" s="53"/>
      <c r="R58" s="143"/>
      <c r="S58" s="122"/>
      <c r="T58" s="109"/>
      <c r="U58" s="44"/>
      <c r="V58" s="17"/>
      <c r="W58" s="17"/>
      <c r="X58" s="54"/>
      <c r="Y58" s="17"/>
      <c r="Z58" s="17"/>
      <c r="AA58" s="17"/>
      <c r="AB58" s="17"/>
      <c r="AC58" s="17"/>
      <c r="AD58" s="43"/>
      <c r="AE58" s="43"/>
      <c r="AF58" s="43"/>
      <c r="AG58" s="685" t="s">
        <v>562</v>
      </c>
      <c r="AH58" s="685" t="str">
        <f>CONCATENATE("Характеристики уставок",CHAR(10),"рабочей области РС.",CHAR(10),CHAR(10),AH56)</f>
        <v>Характеристики уставок
рабочей области РС.
Уставки РС:
   - Xуст = 4 Ом,
   - Rуст = 2 Ом,
   - fi_1 = 70°,
   - k см = 0,2 (-0,8 Ом),
   - Rнагр = 1 Ом,
   - fi_нагр = 15°.</v>
      </c>
      <c r="AI58" s="64" t="s">
        <v>56</v>
      </c>
      <c r="AJ58" s="43"/>
      <c r="AK58" s="43"/>
      <c r="AL58" s="43"/>
      <c r="AM58" s="122"/>
      <c r="AN58" s="123"/>
    </row>
    <row r="59" spans="1:40" ht="15" customHeight="1" x14ac:dyDescent="0.25">
      <c r="A59" s="17"/>
      <c r="B59" s="17"/>
      <c r="C59" s="17"/>
      <c r="D59" s="17"/>
      <c r="E59" s="17"/>
      <c r="F59" s="122"/>
      <c r="G59" s="632"/>
      <c r="H59" s="44"/>
      <c r="I59" s="732" t="s">
        <v>55</v>
      </c>
      <c r="J59" s="733"/>
      <c r="K59" s="584">
        <f>(K58-E19)*100/E19</f>
        <v>-1.1102230246251565E-14</v>
      </c>
      <c r="L59" s="584">
        <f>(L58-E19)*100/E19</f>
        <v>-1.1102230246251565E-14</v>
      </c>
      <c r="M59" s="585">
        <f>(M58-E19)*100/E19</f>
        <v>-1.1102230246251565E-14</v>
      </c>
      <c r="N59" s="172" t="str">
        <f>IF(OR(IF(ISNUMBER(K59),IF(ABS(K59)&gt;5,1,0),0),IF(ISNUMBER(L59),IF(ABS(L59)&gt;5,1,0),0),IF(ISNUMBER(M59),IF(ABS(M59)&gt;5,1,0),0)),"&lt;= Err","")</f>
        <v/>
      </c>
      <c r="O59" s="143"/>
      <c r="P59" s="53"/>
      <c r="Q59" s="53"/>
      <c r="R59" s="143"/>
      <c r="S59" s="122"/>
      <c r="T59" s="109"/>
      <c r="U59" s="44"/>
      <c r="V59" s="60" t="s">
        <v>120</v>
      </c>
      <c r="W59" s="97">
        <f t="shared" ref="W59:AD59" si="1">SQRT(POWER(W56,2)+POWER(W57,2))</f>
        <v>0.8</v>
      </c>
      <c r="X59" s="97">
        <f t="shared" si="1"/>
        <v>1</v>
      </c>
      <c r="Y59" s="97">
        <f t="shared" si="1"/>
        <v>1.9</v>
      </c>
      <c r="Z59" s="97">
        <f t="shared" si="1"/>
        <v>2.3849741046932142</v>
      </c>
      <c r="AA59" s="97">
        <f t="shared" si="1"/>
        <v>4.7</v>
      </c>
      <c r="AB59" s="97">
        <f t="shared" si="1"/>
        <v>4</v>
      </c>
      <c r="AC59" s="97">
        <f t="shared" si="1"/>
        <v>1</v>
      </c>
      <c r="AD59" s="97">
        <f t="shared" si="1"/>
        <v>1.9</v>
      </c>
      <c r="AE59" s="17"/>
      <c r="AF59" s="17"/>
      <c r="AG59" s="17"/>
      <c r="AH59" s="17"/>
      <c r="AI59" s="17"/>
      <c r="AJ59" s="17"/>
      <c r="AK59" s="17"/>
      <c r="AL59" s="17"/>
      <c r="AM59" s="122"/>
      <c r="AN59" s="123"/>
    </row>
    <row r="60" spans="1:40" x14ac:dyDescent="0.25">
      <c r="A60" s="17"/>
      <c r="B60" s="17"/>
      <c r="C60" s="17"/>
      <c r="D60" s="17"/>
      <c r="E60" s="17"/>
      <c r="F60" s="122"/>
      <c r="G60" s="632"/>
      <c r="H60" s="44"/>
      <c r="I60" s="734" t="s">
        <v>458</v>
      </c>
      <c r="J60" s="735"/>
      <c r="K60" s="344">
        <f>IF(OR(P35="",P35=0,P36="",P36=0),DEGREES(ATAN((K36*SIN(RADIANS(N36))-N35*SIN(RADIANS(L35)))/(K36*COS(RADIANS(N36))-N35*COS(RADIANS(L35))))),DEGREES(ATAN((K36*SIN(RADIANS(P36))-P35*SIN(RADIANS(L35)))/(K36*COS(RADIANS(P36))-P35*COS(RADIANS(L35))))))</f>
        <v>70</v>
      </c>
      <c r="L60" s="344">
        <f>IF(OR(Q35="",Q35=0,Q36="",Q36=0),DEGREES(ATAN((K36*SIN(RADIANS(N36))-N35*SIN(RADIANS(L35)))/(K36*COS(RADIANS(N36))-N35*COS(RADIANS(L35))))),DEGREES(ATAN((K36*SIN(RADIANS(Q36))-Q35*SIN(RADIANS(L35)))/(K36*COS(RADIANS(Q36))-Q35*COS(RADIANS(L35))))))</f>
        <v>70</v>
      </c>
      <c r="M60" s="345">
        <f>IF(OR(R35="",R35=0,R36="",R36=0),DEGREES(ATAN((K36*SIN(RADIANS(N36))-N35*SIN(RADIANS(L35)))/(K36*COS(RADIANS(N36))-N35*COS(RADIANS(L35))))),DEGREES(ATAN((K36*SIN(RADIANS(R36))-R35*SIN(RADIANS(L35)))/(K36*COS(RADIANS(R36))-R35*COS(RADIANS(L35))))))</f>
        <v>70</v>
      </c>
      <c r="N60" s="141"/>
      <c r="O60" s="141"/>
      <c r="P60" s="141"/>
      <c r="Q60" s="141"/>
      <c r="R60" s="141"/>
      <c r="S60" s="122"/>
      <c r="T60" s="109"/>
      <c r="U60" s="44"/>
      <c r="V60" s="60" t="s">
        <v>121</v>
      </c>
      <c r="W60" s="98">
        <f>IF(W57&gt;=0,90,270)</f>
        <v>270</v>
      </c>
      <c r="X60" s="98">
        <f>IF(X57=0,0,DEGREES(ATAN(X57/X56)))+180*AD32</f>
        <v>0</v>
      </c>
      <c r="Y60" s="98">
        <f>IF(Y56=0,90,DEGREES(ATAN(Y57/Y56)))+180*AD32</f>
        <v>14.999999999999998</v>
      </c>
      <c r="Z60" s="98">
        <f>IF(Z56=0,90,DEGREES(ATAN(Z57/Z56)))+180*AD32</f>
        <v>18</v>
      </c>
      <c r="AA60" s="98">
        <f>IF(AA56=0,90,DEGREES(ATAN(AA57/AA56)))+180*AD32</f>
        <v>46.429998184820683</v>
      </c>
      <c r="AB60" s="98">
        <f>IF(AB56=0,90,DEGREES(ATAN(AB57/AB56)))+180*AD32</f>
        <v>90</v>
      </c>
      <c r="AC60" s="171">
        <f>IF(AC56=0,90,DEGREES(ATAN(AC57/AC56)))+180*AD32</f>
        <v>0</v>
      </c>
      <c r="AD60" s="171">
        <f>IF(AD56=0,90,180+DEGREES(ATAN(AD57/AD56)))+180*AD32</f>
        <v>195</v>
      </c>
      <c r="AE60" s="17"/>
      <c r="AF60" s="17"/>
      <c r="AG60" s="17"/>
      <c r="AH60" s="17"/>
      <c r="AI60" s="17"/>
      <c r="AJ60" s="17"/>
      <c r="AK60" s="17"/>
      <c r="AL60" s="17"/>
      <c r="AM60" s="122"/>
      <c r="AN60" s="123"/>
    </row>
    <row r="61" spans="1:40" ht="15" customHeight="1" x14ac:dyDescent="0.25">
      <c r="A61" s="17"/>
      <c r="B61" s="17"/>
      <c r="C61" s="17"/>
      <c r="D61" s="17"/>
      <c r="E61" s="17"/>
      <c r="F61" s="122"/>
      <c r="G61" s="632"/>
      <c r="H61" s="44"/>
      <c r="I61" s="732" t="s">
        <v>461</v>
      </c>
      <c r="J61" s="733"/>
      <c r="K61" s="584">
        <f>K60-E21</f>
        <v>0</v>
      </c>
      <c r="L61" s="584">
        <f>L60-E21</f>
        <v>0</v>
      </c>
      <c r="M61" s="585">
        <f>M60-E21</f>
        <v>0</v>
      </c>
      <c r="N61" s="172" t="str">
        <f>IF(OR(IF(ISNUMBER(K61),IF(ABS(K61)&gt;5,1,0),0),IF(ISNUMBER(L61),IF(ABS(L61)&gt;5,1,0),0),IF(ISNUMBER(M61),IF(ABS(M61)&gt;5,1,0),0)),"&lt;= Err","")</f>
        <v/>
      </c>
      <c r="O61" s="141"/>
      <c r="P61" s="141"/>
      <c r="Q61" s="141"/>
      <c r="R61" s="141"/>
      <c r="S61" s="122"/>
      <c r="T61" s="109"/>
      <c r="U61" s="44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22"/>
      <c r="AN61" s="123"/>
    </row>
    <row r="62" spans="1:40" x14ac:dyDescent="0.25">
      <c r="A62" s="17"/>
      <c r="B62" s="17"/>
      <c r="C62" s="17"/>
      <c r="D62" s="17"/>
      <c r="E62" s="17"/>
      <c r="F62" s="122"/>
      <c r="G62" s="632"/>
      <c r="H62" s="44"/>
      <c r="I62" s="734" t="s">
        <v>264</v>
      </c>
      <c r="J62" s="735"/>
      <c r="K62" s="344">
        <f>ABS(IF(OR(P33="",P33=0,P34="",P34=0),N33/N34,P33/P34)/SIN(RADIANS(L34)))</f>
        <v>0.2</v>
      </c>
      <c r="L62" s="344">
        <f>ABS(IF(OR(Q33="",Q33=0,Q34="",Q34=0),N33/N34,Q33/Q34)/SIN(RADIANS(L34)))</f>
        <v>0.2</v>
      </c>
      <c r="M62" s="345">
        <f>ABS(IF(OR(R33="",R33=0,R34="",R34=0),N33/N34,R33/R34)/SIN(RADIANS(L34)))</f>
        <v>0.2</v>
      </c>
      <c r="N62" s="141"/>
      <c r="O62" s="141"/>
      <c r="P62" s="141"/>
      <c r="Q62" s="141"/>
      <c r="R62" s="141"/>
      <c r="S62" s="122"/>
      <c r="T62" s="109"/>
      <c r="U62" s="44"/>
      <c r="V62" s="43"/>
      <c r="W62" s="83"/>
      <c r="X62" s="64"/>
      <c r="Y62" s="101"/>
      <c r="Z62" s="102"/>
      <c r="AA62" s="102"/>
      <c r="AB62" s="102"/>
      <c r="AC62" s="83"/>
      <c r="AD62" s="83"/>
      <c r="AE62" s="83"/>
      <c r="AF62" s="64"/>
      <c r="AG62" s="17"/>
      <c r="AH62" s="17"/>
      <c r="AI62" s="17"/>
      <c r="AJ62" s="17"/>
      <c r="AK62" s="17"/>
      <c r="AL62" s="17"/>
      <c r="AM62" s="122"/>
      <c r="AN62" s="123"/>
    </row>
    <row r="63" spans="1:40" ht="15.75" customHeight="1" thickBot="1" x14ac:dyDescent="0.3">
      <c r="A63" s="17"/>
      <c r="B63" s="17"/>
      <c r="C63" s="17"/>
      <c r="D63" s="17"/>
      <c r="E63" s="17"/>
      <c r="F63" s="122"/>
      <c r="G63" s="632"/>
      <c r="H63" s="44"/>
      <c r="I63" s="732" t="s">
        <v>471</v>
      </c>
      <c r="J63" s="733"/>
      <c r="K63" s="584">
        <f>(K62-E23)*100/E23</f>
        <v>0</v>
      </c>
      <c r="L63" s="584">
        <f>(L62-E23)*100/E23</f>
        <v>0</v>
      </c>
      <c r="M63" s="585">
        <f>(M62-E23)*100/E23</f>
        <v>0</v>
      </c>
      <c r="N63" s="172" t="str">
        <f>IF(OR(IF(ISNUMBER(K63),IF(ABS(K63)&gt;5,1,0),0),IF(ISNUMBER(L63),IF(ABS(L63)&gt;5,1,0),0),IF(ISNUMBER(M63),IF(ABS(M63)&gt;5,1,0),0)),"&lt;= Err","")</f>
        <v/>
      </c>
      <c r="O63" s="143"/>
      <c r="P63" s="53"/>
      <c r="Q63" s="53"/>
      <c r="R63" s="143"/>
      <c r="S63" s="122"/>
      <c r="T63" s="109"/>
      <c r="U63" s="44"/>
      <c r="V63" s="17"/>
      <c r="W63" s="64"/>
      <c r="X63" s="64"/>
      <c r="Y63" s="103"/>
      <c r="Z63" s="102"/>
      <c r="AA63" s="102"/>
      <c r="AB63" s="102"/>
      <c r="AC63" s="104"/>
      <c r="AD63" s="64"/>
      <c r="AE63" s="64"/>
      <c r="AF63" s="64"/>
      <c r="AG63" s="17"/>
      <c r="AH63" s="17"/>
      <c r="AI63" s="17"/>
      <c r="AJ63" s="17"/>
      <c r="AK63" s="17"/>
      <c r="AL63" s="17"/>
      <c r="AM63" s="122"/>
      <c r="AN63" s="123"/>
    </row>
    <row r="64" spans="1:40" x14ac:dyDescent="0.25">
      <c r="A64" s="17"/>
      <c r="B64" s="17"/>
      <c r="C64" s="17"/>
      <c r="D64" s="17"/>
      <c r="E64" s="17"/>
      <c r="F64" s="122"/>
      <c r="G64" s="632"/>
      <c r="H64" s="44"/>
      <c r="I64" s="745" t="s">
        <v>265</v>
      </c>
      <c r="J64" s="746"/>
      <c r="K64" s="348">
        <f>IF(K40="-","-",ABS(IF(OR(P40="",P40=0),N40,P40)*COS(RADIANS(L40))/IF(E35=2,2*E33,1)))</f>
        <v>1</v>
      </c>
      <c r="L64" s="348">
        <f>IF(K40="-","-",ABS(IF(OR(Q40="",Q40=0),N40,Q40)*COS(RADIANS(L40))/IF(E35=2,2*E33,1)))</f>
        <v>1</v>
      </c>
      <c r="M64" s="349">
        <f>IF(K40="-","-",ABS(IF(OR(R40="",R40=0),N40,R40)*COS(RADIANS(L40))/IF(E35=2,2*E33,1)))</f>
        <v>1</v>
      </c>
      <c r="N64" s="141"/>
      <c r="O64" s="143"/>
      <c r="P64" s="53"/>
      <c r="Q64" s="53"/>
      <c r="R64" s="143"/>
      <c r="S64" s="122"/>
      <c r="T64" s="123"/>
      <c r="U64" s="44"/>
      <c r="V64" s="17"/>
      <c r="W64" s="64"/>
      <c r="X64" s="64"/>
      <c r="Y64" s="103"/>
      <c r="Z64" s="102"/>
      <c r="AA64" s="102"/>
      <c r="AB64" s="102"/>
      <c r="AC64" s="104"/>
      <c r="AD64" s="64"/>
      <c r="AE64" s="64"/>
      <c r="AF64" s="64"/>
      <c r="AG64" s="17"/>
      <c r="AH64" s="17"/>
      <c r="AI64" s="17"/>
      <c r="AJ64" s="17"/>
      <c r="AK64" s="17"/>
      <c r="AL64" s="17"/>
      <c r="AM64" s="122"/>
      <c r="AN64" s="123"/>
    </row>
    <row r="65" spans="1:40" ht="15.75" customHeight="1" x14ac:dyDescent="0.25">
      <c r="A65" s="17"/>
      <c r="B65" s="17"/>
      <c r="C65" s="17"/>
      <c r="D65" s="17"/>
      <c r="E65" s="17"/>
      <c r="F65" s="122"/>
      <c r="G65" s="632"/>
      <c r="H65" s="44"/>
      <c r="I65" s="732" t="s">
        <v>123</v>
      </c>
      <c r="J65" s="733"/>
      <c r="K65" s="584">
        <f>IF(K64="-","-",(K64-E25)*100/E25)</f>
        <v>0</v>
      </c>
      <c r="L65" s="584">
        <f>IF(L64="-","-",(L64-E25)*100/E25)</f>
        <v>0</v>
      </c>
      <c r="M65" s="585">
        <f>IF(M64="-","-",(M64-E25)*100/E25)</f>
        <v>0</v>
      </c>
      <c r="N65" s="172" t="str">
        <f>IF(OR(IF(ISNUMBER(K65),IF(ABS(K65)&gt;5,1,0),0),IF(ISNUMBER(L65),IF(ABS(L65)&gt;5,1,0),0),IF(ISNUMBER(M65),IF(ABS(M65)&gt;5,1,0),0)),"&lt;= Err","")</f>
        <v/>
      </c>
      <c r="O65" s="143"/>
      <c r="P65" s="53"/>
      <c r="Q65" s="53"/>
      <c r="R65" s="143"/>
      <c r="S65" s="122"/>
      <c r="T65" s="123"/>
      <c r="U65" s="44"/>
      <c r="V65" s="17"/>
      <c r="W65" s="64"/>
      <c r="X65" s="64"/>
      <c r="Y65" s="103"/>
      <c r="Z65" s="102"/>
      <c r="AA65" s="102"/>
      <c r="AB65" s="102"/>
      <c r="AC65" s="104"/>
      <c r="AD65" s="64"/>
      <c r="AE65" s="64"/>
      <c r="AF65" s="64"/>
      <c r="AG65" s="17"/>
      <c r="AH65" s="17"/>
      <c r="AI65" s="17"/>
      <c r="AJ65" s="17"/>
      <c r="AK65" s="17"/>
      <c r="AL65" s="17"/>
      <c r="AM65" s="122"/>
      <c r="AN65" s="123"/>
    </row>
    <row r="66" spans="1:40" x14ac:dyDescent="0.25">
      <c r="A66" s="17"/>
      <c r="B66" s="17"/>
      <c r="C66" s="17"/>
      <c r="D66" s="17"/>
      <c r="E66" s="17"/>
      <c r="F66" s="122"/>
      <c r="G66" s="632"/>
      <c r="H66" s="44"/>
      <c r="I66" s="734" t="s">
        <v>469</v>
      </c>
      <c r="J66" s="735"/>
      <c r="K66" s="344">
        <f>IF(K41="-","-",IF(OR(P41="",P41=0),N41,P41)-IF(E37=1,0,180))</f>
        <v>14.999999999999998</v>
      </c>
      <c r="L66" s="344">
        <f>IF(K41="-","-",IF(OR(Q41="",Q41=0),N41,Q41)-IF(E37=1,0,180))</f>
        <v>14.999999999999998</v>
      </c>
      <c r="M66" s="345">
        <f>IF(K41="-","-",IF(OR(R41="",R41=0),N41,R41)-IF(E37=1,0,180))</f>
        <v>14.999999999999998</v>
      </c>
      <c r="N66" s="141"/>
      <c r="O66" s="141"/>
      <c r="P66" s="141"/>
      <c r="Q66" s="18"/>
      <c r="R66" s="143"/>
      <c r="S66" s="122"/>
      <c r="T66" s="123"/>
      <c r="U66" s="44"/>
      <c r="V66" s="678" t="s">
        <v>546</v>
      </c>
      <c r="W66" s="103"/>
      <c r="X66" s="102"/>
      <c r="Y66" s="102"/>
      <c r="Z66" s="102"/>
      <c r="AA66" s="102"/>
      <c r="AB66" s="102"/>
      <c r="AC66" s="104"/>
      <c r="AD66" s="64"/>
      <c r="AE66" s="64"/>
      <c r="AF66" s="64"/>
      <c r="AG66" s="17"/>
      <c r="AH66" s="17"/>
      <c r="AI66" s="17"/>
      <c r="AJ66" s="17"/>
      <c r="AK66" s="17"/>
      <c r="AL66" s="17"/>
      <c r="AM66" s="122"/>
      <c r="AN66" s="123"/>
    </row>
    <row r="67" spans="1:40" ht="16.5" customHeight="1" thickBot="1" x14ac:dyDescent="0.3">
      <c r="A67" s="17"/>
      <c r="B67" s="17"/>
      <c r="C67" s="17"/>
      <c r="D67" s="17"/>
      <c r="E67" s="17"/>
      <c r="F67" s="122"/>
      <c r="G67" s="632"/>
      <c r="H67" s="44"/>
      <c r="I67" s="732" t="s">
        <v>467</v>
      </c>
      <c r="J67" s="733"/>
      <c r="K67" s="584">
        <f>IF(K66="-","-",(E26-K66))</f>
        <v>1.7763568394002505E-15</v>
      </c>
      <c r="L67" s="584">
        <f>IF(L66="-","-",(E26-L66))</f>
        <v>1.7763568394002505E-15</v>
      </c>
      <c r="M67" s="585">
        <f>IF(M66="-","-",(E26-M66))</f>
        <v>1.7763568394002505E-15</v>
      </c>
      <c r="N67" s="172" t="str">
        <f>IF(OR(IF(ISNUMBER(K67),IF(ABS(K67)&gt;5,1,0),0),IF(ISNUMBER(L67),IF(ABS(L67)&gt;5,1,0),0),IF(ISNUMBER(M67),IF(ABS(M67)&gt;5,1,0),0)),"&lt;= Err","")</f>
        <v/>
      </c>
      <c r="O67" s="141"/>
      <c r="P67" s="141"/>
      <c r="Q67" s="18"/>
      <c r="R67" s="143"/>
      <c r="S67" s="122"/>
      <c r="T67" s="123"/>
      <c r="U67" s="44"/>
      <c r="V67" s="43" t="s">
        <v>21</v>
      </c>
      <c r="W67" s="97">
        <f>(W68/TAN(RADIANS(W35)))-W34</f>
        <v>-3.4558809370648098</v>
      </c>
      <c r="X67" s="97">
        <f>(X68/TAN(RADIANS(W35)))-W34</f>
        <v>-0.54411906293519019</v>
      </c>
      <c r="Y67" s="97">
        <f>(Y68/TAN(RADIANS(W35)))+W34</f>
        <v>3.4558809370648098</v>
      </c>
      <c r="Z67" s="97">
        <f>(Z68/TAN(RADIANS(W35)))+W34</f>
        <v>0.54411906293519019</v>
      </c>
      <c r="AA67" s="97">
        <f>W67</f>
        <v>-3.4558809370648098</v>
      </c>
      <c r="AB67" s="102"/>
      <c r="AC67" s="104"/>
      <c r="AD67" s="64"/>
      <c r="AE67" s="64"/>
      <c r="AF67" s="64"/>
      <c r="AG67" s="17"/>
      <c r="AH67" s="17"/>
      <c r="AI67" s="17"/>
      <c r="AJ67" s="17"/>
      <c r="AK67" s="17"/>
      <c r="AL67" s="17"/>
      <c r="AM67" s="122"/>
      <c r="AN67" s="123"/>
    </row>
    <row r="68" spans="1:40" x14ac:dyDescent="0.25">
      <c r="A68" s="17"/>
      <c r="B68" s="17"/>
      <c r="C68" s="17"/>
      <c r="D68" s="17"/>
      <c r="E68" s="17"/>
      <c r="F68" s="122"/>
      <c r="G68" s="632"/>
      <c r="H68" s="44"/>
      <c r="I68" s="745" t="s">
        <v>266</v>
      </c>
      <c r="J68" s="746"/>
      <c r="K68" s="348">
        <f>IF(K45="-","-",ABS(IF(OR(P45="",P45=0),N45,P45)*COS(RADIANS(L45))/IF(E35=2,2*E33,1)))</f>
        <v>1</v>
      </c>
      <c r="L68" s="348">
        <f>IF(K45="-","-",ABS(IF(OR(Q45="",Q45=0),N45,Q45)*COS(RADIANS(L45))/IF(E35=2,2*E33,1)))</f>
        <v>1</v>
      </c>
      <c r="M68" s="349">
        <f>IF(K45="-","-",ABS(IF(OR(R45="",R45=0),N45,R45)*COS(RADIANS(L45))/IF(E35=2,2*E33,1)))</f>
        <v>1</v>
      </c>
      <c r="N68" s="145"/>
      <c r="O68" s="145"/>
      <c r="P68" s="145"/>
      <c r="Q68" s="18"/>
      <c r="R68" s="146"/>
      <c r="S68" s="122"/>
      <c r="T68" s="123"/>
      <c r="U68" s="44"/>
      <c r="V68" s="43" t="s">
        <v>45</v>
      </c>
      <c r="W68" s="97">
        <f>-1*W32</f>
        <v>-4</v>
      </c>
      <c r="X68" s="97">
        <f>W32</f>
        <v>4</v>
      </c>
      <c r="Y68" s="97">
        <f>W32</f>
        <v>4</v>
      </c>
      <c r="Z68" s="97">
        <f>-1*W32</f>
        <v>-4</v>
      </c>
      <c r="AA68" s="97">
        <f>W68</f>
        <v>-4</v>
      </c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  <c r="AM68" s="174"/>
      <c r="AN68" s="123"/>
    </row>
    <row r="69" spans="1:40" ht="15.75" customHeight="1" x14ac:dyDescent="0.25">
      <c r="A69" s="17"/>
      <c r="B69" s="17"/>
      <c r="C69" s="17"/>
      <c r="D69" s="17"/>
      <c r="E69" s="17"/>
      <c r="F69" s="122"/>
      <c r="G69" s="632"/>
      <c r="H69" s="44"/>
      <c r="I69" s="732" t="s">
        <v>123</v>
      </c>
      <c r="J69" s="733"/>
      <c r="K69" s="584">
        <f>IF(K68="-","-",(K68-E25)*100/E25)</f>
        <v>0</v>
      </c>
      <c r="L69" s="584">
        <f>IF(L68="-","-",(L68-E25)*100/E25)</f>
        <v>0</v>
      </c>
      <c r="M69" s="585">
        <f>IF(M68="-","-",(M68-E25)*100/E25)</f>
        <v>0</v>
      </c>
      <c r="N69" s="172" t="str">
        <f>IF(OR(IF(ISNUMBER(K69),IF(ABS(K69)&gt;5,1,0),0),IF(ISNUMBER(L69),IF(ABS(L69)&gt;5,1,0),0),IF(ISNUMBER(M69),IF(ABS(M69)&gt;5,1,0),0)),"&lt;= Err","")</f>
        <v/>
      </c>
      <c r="O69" s="141"/>
      <c r="P69" s="141"/>
      <c r="Q69" s="18"/>
      <c r="R69" s="18"/>
      <c r="S69" s="122"/>
      <c r="T69" s="123"/>
      <c r="U69" s="4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  <c r="AM69" s="174"/>
      <c r="AN69" s="123"/>
    </row>
    <row r="70" spans="1:40" x14ac:dyDescent="0.25">
      <c r="A70" s="17"/>
      <c r="B70" s="17"/>
      <c r="C70" s="17"/>
      <c r="D70" s="17"/>
      <c r="E70" s="17"/>
      <c r="F70" s="122"/>
      <c r="G70" s="632"/>
      <c r="H70" s="44"/>
      <c r="I70" s="734" t="s">
        <v>470</v>
      </c>
      <c r="J70" s="735"/>
      <c r="K70" s="344">
        <f>IF(K46="-","-",ABS(IF(OR(P46="",P46=0),N46,P46)-IF(E37=1,180,360)))</f>
        <v>15</v>
      </c>
      <c r="L70" s="344">
        <f>IF(K46="-","-",ABS(IF(OR(Q46="",Q46=0),N46,Q46)-IF(E37=1,180,360)))</f>
        <v>15</v>
      </c>
      <c r="M70" s="345">
        <f>IF(K46="-","-",ABS(IF(OR(R46="",R46=0),N46,R46)-IF(E37=1,180,360)))</f>
        <v>15</v>
      </c>
      <c r="N70" s="141"/>
      <c r="O70" s="141"/>
      <c r="P70" s="141"/>
      <c r="Q70" s="18"/>
      <c r="R70" s="18"/>
      <c r="S70" s="122"/>
      <c r="T70" s="123"/>
      <c r="U70" s="44"/>
      <c r="V70" s="64" t="s">
        <v>554</v>
      </c>
      <c r="W70" s="64"/>
      <c r="X70" s="64"/>
      <c r="Y70" s="64"/>
      <c r="Z70" s="64"/>
      <c r="AA70" s="102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  <c r="AM70" s="174"/>
      <c r="AN70" s="123"/>
    </row>
    <row r="71" spans="1:40" ht="15.75" thickBot="1" x14ac:dyDescent="0.3">
      <c r="A71" s="17"/>
      <c r="B71" s="17"/>
      <c r="C71" s="17"/>
      <c r="D71" s="17"/>
      <c r="E71" s="17"/>
      <c r="F71" s="122"/>
      <c r="G71" s="632"/>
      <c r="H71" s="44"/>
      <c r="I71" s="728" t="s">
        <v>467</v>
      </c>
      <c r="J71" s="729"/>
      <c r="K71" s="588">
        <f>IF(K70="-","-",(E26-K70))</f>
        <v>0</v>
      </c>
      <c r="L71" s="588">
        <f>IF(L70="-","-",(E26-L70))</f>
        <v>0</v>
      </c>
      <c r="M71" s="589">
        <f>IF(M70="-","-",(E26-M70))</f>
        <v>0</v>
      </c>
      <c r="N71" s="172" t="str">
        <f>IF(OR(IF(ISNUMBER(K71),IF(ABS(K71)&gt;5,1,0),0),IF(ISNUMBER(L71),IF(ABS(L71)&gt;5,1,0),0),IF(ISNUMBER(M71),IF(ABS(M71)&gt;5,1,0),0)),"&lt;= Err","")</f>
        <v/>
      </c>
      <c r="O71" s="141"/>
      <c r="P71" s="141"/>
      <c r="Q71" s="18"/>
      <c r="R71" s="18"/>
      <c r="S71" s="122"/>
      <c r="T71" s="123"/>
      <c r="U71" s="44"/>
      <c r="V71" s="43" t="s">
        <v>21</v>
      </c>
      <c r="W71" s="97">
        <f>W72/TAN(RADIANS(W35))</f>
        <v>-1.4558809370648098</v>
      </c>
      <c r="X71" s="97">
        <f>X72/TAN(RADIANS(W35))</f>
        <v>1.4558809370648098</v>
      </c>
      <c r="Y71" s="64"/>
      <c r="Z71" s="64"/>
      <c r="AA71" s="102"/>
      <c r="AB71" s="174"/>
      <c r="AC71" s="174"/>
      <c r="AD71" s="174"/>
      <c r="AE71" s="174"/>
      <c r="AF71" s="174"/>
      <c r="AG71" s="174"/>
      <c r="AH71" s="174"/>
      <c r="AI71" s="174"/>
      <c r="AJ71" s="174"/>
      <c r="AK71" s="174"/>
      <c r="AL71" s="174"/>
      <c r="AM71" s="174"/>
      <c r="AN71" s="123"/>
    </row>
    <row r="72" spans="1:40" x14ac:dyDescent="0.25">
      <c r="A72" s="17"/>
      <c r="B72" s="17"/>
      <c r="C72" s="17"/>
      <c r="D72" s="17"/>
      <c r="E72" s="17"/>
      <c r="F72" s="122"/>
      <c r="G72" s="632"/>
      <c r="H72" s="44"/>
      <c r="I72" s="17"/>
      <c r="J72" s="17"/>
      <c r="K72" s="17"/>
      <c r="L72" s="17"/>
      <c r="M72" s="17"/>
      <c r="N72" s="18"/>
      <c r="O72" s="18"/>
      <c r="P72" s="18"/>
      <c r="Q72" s="18"/>
      <c r="R72" s="18"/>
      <c r="S72" s="122"/>
      <c r="T72" s="123"/>
      <c r="U72" s="44"/>
      <c r="V72" s="43" t="s">
        <v>45</v>
      </c>
      <c r="W72" s="97">
        <f>-1*W32</f>
        <v>-4</v>
      </c>
      <c r="X72" s="97">
        <f>W32</f>
        <v>4</v>
      </c>
      <c r="Y72" s="64"/>
      <c r="Z72" s="64"/>
      <c r="AA72" s="102"/>
      <c r="AB72" s="174"/>
      <c r="AC72" s="174"/>
      <c r="AD72" s="174"/>
      <c r="AE72" s="174"/>
      <c r="AF72" s="174"/>
      <c r="AG72" s="174"/>
      <c r="AH72" s="174"/>
      <c r="AI72" s="174"/>
      <c r="AJ72" s="174"/>
      <c r="AK72" s="174"/>
      <c r="AL72" s="174"/>
      <c r="AM72" s="174"/>
      <c r="AN72" s="123"/>
    </row>
    <row r="73" spans="1:40" x14ac:dyDescent="0.25">
      <c r="A73" s="17"/>
      <c r="B73" s="17"/>
      <c r="C73" s="17"/>
      <c r="D73" s="17"/>
      <c r="E73" s="17"/>
      <c r="F73" s="122"/>
      <c r="G73" s="632"/>
      <c r="H73" s="44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22"/>
      <c r="T73" s="123"/>
      <c r="U73" s="44"/>
      <c r="V73" s="64"/>
      <c r="W73" s="64"/>
      <c r="X73" s="64"/>
      <c r="Y73" s="64"/>
      <c r="Z73" s="64"/>
      <c r="AA73" s="102"/>
      <c r="AB73" s="174"/>
      <c r="AC73" s="174"/>
      <c r="AD73" s="174"/>
      <c r="AE73" s="174"/>
      <c r="AF73" s="174"/>
      <c r="AG73" s="174"/>
      <c r="AH73" s="174"/>
      <c r="AI73" s="174"/>
      <c r="AJ73" s="174"/>
      <c r="AK73" s="174"/>
      <c r="AL73" s="174"/>
      <c r="AM73" s="174"/>
      <c r="AN73" s="123"/>
    </row>
    <row r="74" spans="1:40" x14ac:dyDescent="0.25">
      <c r="A74" s="17"/>
      <c r="B74" s="17"/>
      <c r="C74" s="17"/>
      <c r="D74" s="17"/>
      <c r="E74" s="17"/>
      <c r="F74" s="122"/>
      <c r="G74" s="632"/>
      <c r="H74" s="44"/>
      <c r="I74" s="17" t="s">
        <v>480</v>
      </c>
      <c r="J74" s="17"/>
      <c r="K74" s="17"/>
      <c r="L74" s="17"/>
      <c r="M74" s="17"/>
      <c r="N74" s="17"/>
      <c r="O74" s="17"/>
      <c r="P74" s="17"/>
      <c r="Q74" s="17"/>
      <c r="R74" s="17"/>
      <c r="S74" s="122"/>
      <c r="T74" s="123"/>
      <c r="U74" s="44"/>
      <c r="V74" s="64" t="s">
        <v>566</v>
      </c>
      <c r="W74" s="103"/>
      <c r="X74" s="102"/>
      <c r="Y74" s="64"/>
      <c r="Z74" s="64"/>
      <c r="AA74" s="102"/>
      <c r="AB74" s="174"/>
      <c r="AC74" s="174"/>
      <c r="AD74" s="174"/>
      <c r="AE74" s="174"/>
      <c r="AF74" s="174"/>
      <c r="AG74" s="174"/>
      <c r="AH74" s="174"/>
      <c r="AI74" s="174"/>
      <c r="AJ74" s="174"/>
      <c r="AK74" s="174"/>
      <c r="AL74" s="174"/>
      <c r="AM74" s="174"/>
      <c r="AN74" s="123"/>
    </row>
    <row r="75" spans="1:40" ht="15.75" thickBot="1" x14ac:dyDescent="0.3">
      <c r="A75" s="17"/>
      <c r="B75" s="17"/>
      <c r="C75" s="17"/>
      <c r="D75" s="17"/>
      <c r="E75" s="17"/>
      <c r="F75" s="122"/>
      <c r="G75" s="632"/>
      <c r="H75" s="44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22"/>
      <c r="T75" s="123"/>
      <c r="U75" s="44"/>
      <c r="V75" s="43" t="s">
        <v>21</v>
      </c>
      <c r="W75" s="97">
        <f>ROUND((W76/TAN(RADIANS(W35)))-W34*1.25,1)</f>
        <v>-2.8</v>
      </c>
      <c r="X75" s="97">
        <f>ROUND((W76/TAN(RADIANS(W35)))+W34*1.25,1)</f>
        <v>2.2000000000000002</v>
      </c>
      <c r="Y75" s="102"/>
      <c r="Z75" s="102"/>
      <c r="AA75" s="102"/>
      <c r="AB75" s="174"/>
      <c r="AC75" s="174"/>
      <c r="AD75" s="174"/>
      <c r="AE75" s="174"/>
      <c r="AF75" s="174"/>
      <c r="AG75" s="174"/>
      <c r="AH75" s="174"/>
      <c r="AI75" s="174"/>
      <c r="AJ75" s="174"/>
      <c r="AK75" s="174"/>
      <c r="AL75" s="174"/>
      <c r="AM75" s="174"/>
      <c r="AN75" s="123"/>
    </row>
    <row r="76" spans="1:40" ht="15" customHeight="1" x14ac:dyDescent="0.25">
      <c r="A76" s="123"/>
      <c r="B76" s="123"/>
      <c r="C76" s="123"/>
      <c r="D76" s="123"/>
      <c r="E76" s="123"/>
      <c r="F76" s="123"/>
      <c r="G76" s="632"/>
      <c r="H76" s="44"/>
      <c r="I76" s="721" t="s">
        <v>0</v>
      </c>
      <c r="J76" s="723" t="s">
        <v>65</v>
      </c>
      <c r="K76" s="725" t="s">
        <v>124</v>
      </c>
      <c r="L76" s="725"/>
      <c r="M76" s="726"/>
      <c r="N76" s="17"/>
      <c r="O76" s="17"/>
      <c r="P76" s="17"/>
      <c r="Q76" s="17"/>
      <c r="R76" s="17"/>
      <c r="S76" s="122"/>
      <c r="T76" s="123"/>
      <c r="U76" s="44"/>
      <c r="V76" s="43" t="s">
        <v>45</v>
      </c>
      <c r="W76" s="97">
        <f>W33</f>
        <v>-0.8</v>
      </c>
      <c r="X76" s="97">
        <f>W33</f>
        <v>-0.8</v>
      </c>
      <c r="Y76" s="102"/>
      <c r="Z76" s="102"/>
      <c r="AA76" s="102"/>
      <c r="AB76" s="174"/>
      <c r="AC76" s="174"/>
      <c r="AD76" s="174"/>
      <c r="AE76" s="174"/>
      <c r="AF76" s="174"/>
      <c r="AG76" s="174"/>
      <c r="AH76" s="174"/>
      <c r="AI76" s="174"/>
      <c r="AJ76" s="174"/>
      <c r="AK76" s="174"/>
      <c r="AL76" s="174"/>
      <c r="AM76" s="174"/>
      <c r="AN76" s="123"/>
    </row>
    <row r="77" spans="1:40" ht="15.75" customHeight="1" thickBot="1" x14ac:dyDescent="0.3">
      <c r="A77" s="123"/>
      <c r="B77" s="123"/>
      <c r="C77" s="123"/>
      <c r="D77" s="123"/>
      <c r="E77" s="123"/>
      <c r="F77" s="123"/>
      <c r="G77" s="123"/>
      <c r="H77" s="44"/>
      <c r="I77" s="722"/>
      <c r="J77" s="724"/>
      <c r="K77" s="544" t="s">
        <v>125</v>
      </c>
      <c r="L77" s="516" t="s">
        <v>126</v>
      </c>
      <c r="M77" s="517" t="s">
        <v>127</v>
      </c>
      <c r="N77" s="17"/>
      <c r="O77" s="17"/>
      <c r="P77" s="17"/>
      <c r="Q77" s="17"/>
      <c r="R77" s="17"/>
      <c r="S77" s="122"/>
      <c r="T77" s="123"/>
      <c r="U77" s="44"/>
      <c r="V77" s="64"/>
      <c r="W77" s="64"/>
      <c r="X77" s="64"/>
      <c r="Y77" s="102"/>
      <c r="Z77" s="102"/>
      <c r="AA77" s="102"/>
      <c r="AB77" s="174"/>
      <c r="AC77" s="174"/>
      <c r="AD77" s="174"/>
      <c r="AE77" s="174"/>
      <c r="AF77" s="174"/>
      <c r="AG77" s="174"/>
      <c r="AH77" s="174"/>
      <c r="AI77" s="174"/>
      <c r="AJ77" s="174"/>
      <c r="AK77" s="174"/>
      <c r="AL77" s="174"/>
      <c r="AM77" s="174"/>
      <c r="AN77" s="123"/>
    </row>
    <row r="78" spans="1:40" x14ac:dyDescent="0.25">
      <c r="A78" s="123"/>
      <c r="B78" s="123"/>
      <c r="C78" s="123"/>
      <c r="D78" s="123"/>
      <c r="E78" s="123"/>
      <c r="F78" s="123"/>
      <c r="G78" s="123"/>
      <c r="H78" s="17"/>
      <c r="I78" s="525" t="s">
        <v>47</v>
      </c>
      <c r="J78" s="546">
        <f>E18</f>
        <v>4</v>
      </c>
      <c r="K78" s="545">
        <f t="shared" ref="K78:M79" si="2">K56</f>
        <v>4</v>
      </c>
      <c r="L78" s="512">
        <f t="shared" si="2"/>
        <v>4</v>
      </c>
      <c r="M78" s="513">
        <f t="shared" si="2"/>
        <v>4</v>
      </c>
      <c r="N78" s="17"/>
      <c r="O78" s="17"/>
      <c r="P78" s="17"/>
      <c r="Q78" s="17"/>
      <c r="R78" s="17"/>
      <c r="S78" s="122"/>
      <c r="T78" s="123"/>
      <c r="U78" s="44"/>
      <c r="V78" s="64" t="s">
        <v>568</v>
      </c>
      <c r="W78" s="103"/>
      <c r="X78" s="102"/>
      <c r="Y78" s="102"/>
      <c r="Z78" s="102"/>
      <c r="AA78" s="102"/>
      <c r="AB78" s="174"/>
      <c r="AC78" s="174"/>
      <c r="AD78" s="174"/>
      <c r="AE78" s="174"/>
      <c r="AF78" s="174"/>
      <c r="AG78" s="174"/>
      <c r="AH78" s="174"/>
      <c r="AI78" s="174"/>
      <c r="AJ78" s="174"/>
      <c r="AK78" s="174"/>
      <c r="AL78" s="174"/>
      <c r="AM78" s="174"/>
      <c r="AN78" s="123"/>
    </row>
    <row r="79" spans="1:40" x14ac:dyDescent="0.25">
      <c r="A79" s="123"/>
      <c r="B79" s="123"/>
      <c r="C79" s="123"/>
      <c r="D79" s="123"/>
      <c r="E79" s="123"/>
      <c r="F79" s="123"/>
      <c r="G79" s="123"/>
      <c r="H79" s="17"/>
      <c r="I79" s="526" t="s">
        <v>54</v>
      </c>
      <c r="J79" s="554" t="s">
        <v>455</v>
      </c>
      <c r="K79" s="531">
        <f t="shared" si="2"/>
        <v>0</v>
      </c>
      <c r="L79" s="508">
        <f t="shared" si="2"/>
        <v>0</v>
      </c>
      <c r="M79" s="509">
        <f t="shared" si="2"/>
        <v>0</v>
      </c>
      <c r="N79" s="17"/>
      <c r="O79" s="17"/>
      <c r="P79" s="17"/>
      <c r="Q79" s="17"/>
      <c r="R79" s="17"/>
      <c r="S79" s="122"/>
      <c r="T79" s="123"/>
      <c r="U79" s="44"/>
      <c r="V79" s="43" t="s">
        <v>21</v>
      </c>
      <c r="W79" s="97">
        <f>AA34-W34</f>
        <v>-3</v>
      </c>
      <c r="X79" s="97">
        <f>AA34</f>
        <v>-1</v>
      </c>
      <c r="Y79" s="97">
        <f>AA34</f>
        <v>-1</v>
      </c>
      <c r="Z79" s="97">
        <f>AA34-W34</f>
        <v>-3</v>
      </c>
      <c r="AA79" s="102"/>
      <c r="AB79" s="174"/>
      <c r="AC79" s="174"/>
      <c r="AD79" s="174"/>
      <c r="AE79" s="174"/>
      <c r="AF79" s="174"/>
      <c r="AG79" s="174"/>
      <c r="AH79" s="174"/>
      <c r="AI79" s="174"/>
      <c r="AJ79" s="174"/>
      <c r="AK79" s="174"/>
      <c r="AL79" s="174"/>
      <c r="AM79" s="174"/>
      <c r="AN79" s="123"/>
    </row>
    <row r="80" spans="1:40" x14ac:dyDescent="0.25">
      <c r="A80" s="123"/>
      <c r="B80" s="123"/>
      <c r="C80" s="123"/>
      <c r="D80" s="123"/>
      <c r="E80" s="123"/>
      <c r="F80" s="123"/>
      <c r="G80" s="123"/>
      <c r="H80" s="17"/>
      <c r="I80" s="540" t="str">
        <f>CONCATENATE("U, B (при I = ",E37,"A / 0",CHAR(176),")")</f>
        <v>U, B (при I = 1A / 0°)</v>
      </c>
      <c r="J80" s="556" t="s">
        <v>56</v>
      </c>
      <c r="K80" s="532" t="str">
        <f>CONCATENATE(TEXT(ABS(IF(OR(P34="",P34=0),N34,P34)*IF(E35=1,2*E33,1)),"0,00")," / ",TEXT(L34,"0,0"),CHAR(176))</f>
        <v>40,00 / 90,0°</v>
      </c>
      <c r="L80" s="518" t="str">
        <f>CONCATENATE(TEXT(ABS(IF(OR(Q34="",Q34=0),N34,Q34)*IF(E35=1,2*E33,1)),"0,00")," / ",TEXT(L34,"0,0"),CHAR(176))</f>
        <v>40,00 / 90,0°</v>
      </c>
      <c r="M80" s="520" t="str">
        <f>CONCATENATE(TEXT(ABS(IF(OR(R34="",R34=0),N34,R34)*IF(E35=1,2*E33,1)),"0,00")," / ",TEXT(L34,"0,0"),CHAR(176))</f>
        <v>40,00 / 90,0°</v>
      </c>
      <c r="N80" s="17"/>
      <c r="O80" s="17"/>
      <c r="P80" s="17"/>
      <c r="Q80" s="17"/>
      <c r="R80" s="17"/>
      <c r="S80" s="122"/>
      <c r="T80" s="123"/>
      <c r="U80" s="44"/>
      <c r="V80" s="43" t="s">
        <v>45</v>
      </c>
      <c r="W80" s="97">
        <f>W79*TAN(RADIANS(AA37))</f>
        <v>0.80384757729336886</v>
      </c>
      <c r="X80" s="97">
        <f>X79*TAN(RADIANS(AA37))</f>
        <v>0.26794919243112297</v>
      </c>
      <c r="Y80" s="97">
        <f>Y79*TAN(RADIANS(AA36))</f>
        <v>-0.2679491924311227</v>
      </c>
      <c r="Z80" s="97">
        <f>Z79*TAN(RADIANS(AA36))</f>
        <v>-0.80384757729336809</v>
      </c>
      <c r="AA80" s="102"/>
      <c r="AB80" s="174"/>
      <c r="AC80" s="174"/>
      <c r="AD80" s="174"/>
      <c r="AE80" s="174"/>
      <c r="AF80" s="174"/>
      <c r="AG80" s="174"/>
      <c r="AH80" s="174"/>
      <c r="AI80" s="174"/>
      <c r="AJ80" s="174"/>
      <c r="AK80" s="174"/>
      <c r="AL80" s="174"/>
      <c r="AM80" s="174"/>
      <c r="AN80" s="123"/>
    </row>
    <row r="81" spans="1:40" x14ac:dyDescent="0.25">
      <c r="A81" s="123"/>
      <c r="B81" s="123"/>
      <c r="C81" s="123"/>
      <c r="D81" s="123"/>
      <c r="E81" s="123"/>
      <c r="F81" s="123"/>
      <c r="G81" s="123"/>
      <c r="H81" s="17"/>
      <c r="I81" s="541" t="s">
        <v>46</v>
      </c>
      <c r="J81" s="547">
        <f>E19</f>
        <v>2</v>
      </c>
      <c r="K81" s="533">
        <f t="shared" ref="K81:M82" si="3">K58</f>
        <v>1.9999999999999998</v>
      </c>
      <c r="L81" s="494">
        <f t="shared" si="3"/>
        <v>1.9999999999999998</v>
      </c>
      <c r="M81" s="495">
        <f t="shared" si="3"/>
        <v>1.9999999999999998</v>
      </c>
      <c r="N81" s="17"/>
      <c r="O81" s="17"/>
      <c r="P81" s="17"/>
      <c r="Q81" s="17"/>
      <c r="R81" s="17"/>
      <c r="S81" s="122"/>
      <c r="T81" s="123"/>
      <c r="U81" s="44"/>
      <c r="V81" s="64"/>
      <c r="W81" s="103"/>
      <c r="X81" s="102"/>
      <c r="Y81" s="102"/>
      <c r="Z81" s="102"/>
      <c r="AA81" s="102"/>
      <c r="AB81" s="174"/>
      <c r="AC81" s="174"/>
      <c r="AD81" s="174"/>
      <c r="AE81" s="174"/>
      <c r="AF81" s="174"/>
      <c r="AG81" s="174"/>
      <c r="AH81" s="174"/>
      <c r="AI81" s="174"/>
      <c r="AJ81" s="174"/>
      <c r="AK81" s="174"/>
      <c r="AL81" s="174"/>
      <c r="AM81" s="174"/>
      <c r="AN81" s="123"/>
    </row>
    <row r="82" spans="1:40" x14ac:dyDescent="0.25">
      <c r="A82" s="123"/>
      <c r="B82" s="123"/>
      <c r="C82" s="123"/>
      <c r="D82" s="123"/>
      <c r="E82" s="123"/>
      <c r="F82" s="123"/>
      <c r="G82" s="123"/>
      <c r="H82" s="17"/>
      <c r="I82" s="526" t="s">
        <v>55</v>
      </c>
      <c r="J82" s="554" t="s">
        <v>455</v>
      </c>
      <c r="K82" s="531">
        <f t="shared" si="3"/>
        <v>-1.1102230246251565E-14</v>
      </c>
      <c r="L82" s="508">
        <f t="shared" si="3"/>
        <v>-1.1102230246251565E-14</v>
      </c>
      <c r="M82" s="509">
        <f t="shared" si="3"/>
        <v>-1.1102230246251565E-14</v>
      </c>
      <c r="N82" s="17"/>
      <c r="O82" s="17"/>
      <c r="P82" s="17"/>
      <c r="Q82" s="17"/>
      <c r="R82" s="17"/>
      <c r="S82" s="122"/>
      <c r="T82" s="123"/>
      <c r="U82" s="44"/>
      <c r="V82" s="64" t="s">
        <v>567</v>
      </c>
      <c r="W82" s="103"/>
      <c r="X82" s="102"/>
      <c r="Y82" s="102"/>
      <c r="Z82" s="102"/>
      <c r="AA82" s="102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  <c r="AM82" s="174"/>
      <c r="AN82" s="123"/>
    </row>
    <row r="83" spans="1:40" ht="25.5" x14ac:dyDescent="0.25">
      <c r="A83" s="123"/>
      <c r="B83" s="123"/>
      <c r="C83" s="123"/>
      <c r="D83" s="123"/>
      <c r="E83" s="123"/>
      <c r="F83" s="123"/>
      <c r="G83" s="123"/>
      <c r="H83" s="17"/>
      <c r="I83" s="540" t="str">
        <f>I80</f>
        <v>U, B (при I = 1A / 0°)</v>
      </c>
      <c r="J83" s="556" t="s">
        <v>56</v>
      </c>
      <c r="K83" s="532" t="str">
        <f>CONCATENATE(TEXT(ABS(IF(OR(P35="",P35=0),N35,P35)*IF(E35=1,2*E33,1)),"0,00")," / ",TEXT(L35,"0,0"),CHAR(176))&amp;IF(L35=0,"",CONCATENATE(CHAR(10),TEXT(ABS(K36*IF(E35=1,2*E33,1)),"0,00")," / ",TEXT(IF(OR(P36="",P36=0),N36,P36),"0,0"),CHAR(176)))</f>
        <v>23,85 / 18,0°
47,00 / 46,4°</v>
      </c>
      <c r="L83" s="518" t="str">
        <f>CONCATENATE(TEXT(ABS(IF(OR(Q35="",Q35=0),N35,Q35)*IF(E35=1,2*E33,1)),"0,00")," / ",TEXT(L35,"0,0"),CHAR(176))&amp;IF(L35=0,"",CONCATENATE(CHAR(10),TEXT(ABS(K36*IF(E35=1,2*E33,1)),"0,00")," / ",TEXT(IF(OR(Q36="",Q36=0),N36,Q36),"0,0"),CHAR(176)))</f>
        <v>23,85 / 18,0°
47,00 / 46,4°</v>
      </c>
      <c r="M83" s="520" t="str">
        <f>CONCATENATE(TEXT(ABS(IF(OR(R35="",R35=0),N35,R35)*IF(E35=1,2*E33,1)),"0,00")," / ",TEXT(L35,"0,0"),CHAR(176))&amp;IF(L35=0,"",CONCATENATE(CHAR(10),TEXT(ABS(K36*IF(E35=1,2*E33,1)),"0,00")," / ",TEXT(IF(OR(R36="",R36=0),N36,R36),"0,0"),CHAR(176)))</f>
        <v>23,85 / 18,0°
47,00 / 46,4°</v>
      </c>
      <c r="N83" s="17"/>
      <c r="O83" s="17"/>
      <c r="P83" s="17"/>
      <c r="Q83" s="17"/>
      <c r="R83" s="17"/>
      <c r="S83" s="122"/>
      <c r="T83" s="123"/>
      <c r="U83" s="44"/>
      <c r="V83" s="43" t="s">
        <v>21</v>
      </c>
      <c r="W83" s="97">
        <f>Z34+W34</f>
        <v>3</v>
      </c>
      <c r="X83" s="97">
        <f>Z34</f>
        <v>1</v>
      </c>
      <c r="Y83" s="97">
        <f>Z34</f>
        <v>1</v>
      </c>
      <c r="Z83" s="97">
        <f>Z34+W34</f>
        <v>3</v>
      </c>
      <c r="AA83" s="102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  <c r="AM83" s="174"/>
      <c r="AN83" s="123"/>
    </row>
    <row r="84" spans="1:40" x14ac:dyDescent="0.25">
      <c r="A84" s="123"/>
      <c r="B84" s="123"/>
      <c r="C84" s="123"/>
      <c r="D84" s="123"/>
      <c r="E84" s="123"/>
      <c r="F84" s="123"/>
      <c r="G84" s="123"/>
      <c r="H84" s="17"/>
      <c r="I84" s="541" t="s">
        <v>458</v>
      </c>
      <c r="J84" s="557">
        <f>E21</f>
        <v>70</v>
      </c>
      <c r="K84" s="534">
        <f t="shared" ref="K84:M85" si="4">K60</f>
        <v>70</v>
      </c>
      <c r="L84" s="496">
        <f t="shared" si="4"/>
        <v>70</v>
      </c>
      <c r="M84" s="497">
        <f t="shared" si="4"/>
        <v>70</v>
      </c>
      <c r="N84" s="17"/>
      <c r="O84" s="17"/>
      <c r="P84" s="17"/>
      <c r="Q84" s="17"/>
      <c r="R84" s="17"/>
      <c r="S84" s="122"/>
      <c r="T84" s="123"/>
      <c r="U84" s="44"/>
      <c r="V84" s="43" t="s">
        <v>45</v>
      </c>
      <c r="W84" s="97">
        <f>W83*TAN(RADIANS(Z37))</f>
        <v>0.80384757729336809</v>
      </c>
      <c r="X84" s="97">
        <f>X83*TAN(RADIANS(Z37))</f>
        <v>0.2679491924311227</v>
      </c>
      <c r="Y84" s="97">
        <f>Y83*TAN(RADIANS(Z36))</f>
        <v>-0.2679491924311227</v>
      </c>
      <c r="Z84" s="97">
        <f>Z83*TAN(RADIANS(Z36))</f>
        <v>-0.80384757729336809</v>
      </c>
      <c r="AA84" s="102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  <c r="AM84" s="174"/>
      <c r="AN84" s="123"/>
    </row>
    <row r="85" spans="1:40" ht="15.75" x14ac:dyDescent="0.25">
      <c r="A85" s="123"/>
      <c r="B85" s="123"/>
      <c r="C85" s="123"/>
      <c r="D85" s="123"/>
      <c r="E85" s="123"/>
      <c r="F85" s="123"/>
      <c r="G85" s="123"/>
      <c r="H85" s="17"/>
      <c r="I85" s="526" t="s">
        <v>461</v>
      </c>
      <c r="J85" s="554" t="s">
        <v>455</v>
      </c>
      <c r="K85" s="531">
        <f t="shared" si="4"/>
        <v>0</v>
      </c>
      <c r="L85" s="508">
        <f t="shared" si="4"/>
        <v>0</v>
      </c>
      <c r="M85" s="509">
        <f t="shared" si="4"/>
        <v>0</v>
      </c>
      <c r="N85" s="17"/>
      <c r="O85" s="17"/>
      <c r="P85" s="17"/>
      <c r="Q85" s="17"/>
      <c r="R85" s="17"/>
      <c r="S85" s="122"/>
      <c r="T85" s="123"/>
      <c r="U85" s="44"/>
      <c r="V85" s="64"/>
      <c r="W85" s="103"/>
      <c r="X85" s="102"/>
      <c r="Y85" s="102"/>
      <c r="Z85" s="102"/>
      <c r="AA85" s="102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  <c r="AM85" s="174"/>
      <c r="AN85" s="123"/>
    </row>
    <row r="86" spans="1:40" ht="25.5" x14ac:dyDescent="0.25">
      <c r="A86" s="123"/>
      <c r="B86" s="123"/>
      <c r="C86" s="123"/>
      <c r="D86" s="123"/>
      <c r="E86" s="123"/>
      <c r="F86" s="123"/>
      <c r="G86" s="123"/>
      <c r="H86" s="17"/>
      <c r="I86" s="540" t="str">
        <f>I80</f>
        <v>U, B (при I = 1A / 0°)</v>
      </c>
      <c r="J86" s="559" t="s">
        <v>56</v>
      </c>
      <c r="K86" s="535" t="str">
        <f>CONCATENATE(TEXT(ABS(IF(OR(P35="",P35=0),N35,P35)*IF(E35=1,2*E33,1)),"0,00")," / ",TEXT(L35,"0,0"),CHAR(176),CHAR(10),TEXT(ABS(K36*IF(E35=1,2*E33,1)),"0,00")," / ",TEXT(IF(OR(P36="",P36=0),N36,P36),"0,0"),CHAR(176))</f>
        <v>23,85 / 18,0°
47,00 / 46,4°</v>
      </c>
      <c r="L86" s="519" t="str">
        <f>CONCATENATE(TEXT(ABS(IF(OR(Q35="",Q35=0),N35,Q35)*IF(E35=1,2*E33,1)),"0,00")," / ",TEXT(L35,"0,0"),CHAR(176),CHAR(10),TEXT(ABS(K36*IF(E35=1,2*E33,1)),"0,00")," / ",TEXT(IF(OR(Q36="",Q36=0),N36,Q36),"0,0"),CHAR(176))</f>
        <v>23,85 / 18,0°
47,00 / 46,4°</v>
      </c>
      <c r="M86" s="521" t="str">
        <f>CONCATENATE(TEXT(ABS(IF(OR(R35="",R35=0),N35,R35)*IF(E35=1,2*E33,1)),"0,00")," / ",TEXT(L35,"0,0"),CHAR(176),CHAR(10),TEXT(ABS(K36*IF(E35=1,2*E33,1)),"0,00")," / ",TEXT(IF(OR(R36="",R36=0),N36,R36),"0,0"),CHAR(176))</f>
        <v>23,85 / 18,0°
47,00 / 46,4°</v>
      </c>
      <c r="N86" s="17"/>
      <c r="O86" s="17"/>
      <c r="P86" s="17"/>
      <c r="Q86" s="17"/>
      <c r="R86" s="17"/>
      <c r="S86" s="122"/>
      <c r="T86" s="123"/>
      <c r="U86" s="174"/>
      <c r="V86" s="102"/>
      <c r="W86" s="102"/>
      <c r="X86" s="102"/>
      <c r="Y86" s="102"/>
      <c r="Z86" s="102"/>
      <c r="AA86" s="102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  <c r="AM86" s="174"/>
      <c r="AN86" s="123"/>
    </row>
    <row r="87" spans="1:40" x14ac:dyDescent="0.25">
      <c r="A87" s="123"/>
      <c r="B87" s="123"/>
      <c r="C87" s="123"/>
      <c r="D87" s="123"/>
      <c r="E87" s="123"/>
      <c r="F87" s="123"/>
      <c r="G87" s="123"/>
      <c r="H87" s="17"/>
      <c r="I87" s="541" t="s">
        <v>264</v>
      </c>
      <c r="J87" s="557">
        <f>E23</f>
        <v>0.2</v>
      </c>
      <c r="K87" s="534">
        <f t="shared" ref="K87:M88" si="5">K62</f>
        <v>0.2</v>
      </c>
      <c r="L87" s="496">
        <f t="shared" si="5"/>
        <v>0.2</v>
      </c>
      <c r="M87" s="497">
        <f t="shared" si="5"/>
        <v>0.2</v>
      </c>
      <c r="N87" s="17"/>
      <c r="O87" s="17"/>
      <c r="P87" s="17"/>
      <c r="Q87" s="17"/>
      <c r="R87" s="17"/>
      <c r="S87" s="122"/>
      <c r="T87" s="123"/>
      <c r="U87" s="174"/>
      <c r="V87" s="102"/>
      <c r="W87" s="102"/>
      <c r="X87" s="102"/>
      <c r="Y87" s="102"/>
      <c r="Z87" s="102"/>
      <c r="AA87" s="102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  <c r="AM87" s="174"/>
      <c r="AN87" s="123"/>
    </row>
    <row r="88" spans="1:40" x14ac:dyDescent="0.25">
      <c r="A88" s="123"/>
      <c r="B88" s="123"/>
      <c r="C88" s="123"/>
      <c r="D88" s="123"/>
      <c r="E88" s="123"/>
      <c r="F88" s="123"/>
      <c r="G88" s="123"/>
      <c r="H88" s="17"/>
      <c r="I88" s="526" t="s">
        <v>471</v>
      </c>
      <c r="J88" s="554" t="s">
        <v>455</v>
      </c>
      <c r="K88" s="531">
        <f t="shared" si="5"/>
        <v>0</v>
      </c>
      <c r="L88" s="508">
        <f t="shared" si="5"/>
        <v>0</v>
      </c>
      <c r="M88" s="509">
        <f t="shared" si="5"/>
        <v>0</v>
      </c>
      <c r="N88" s="17"/>
      <c r="O88" s="17"/>
      <c r="P88" s="17"/>
      <c r="Q88" s="17"/>
      <c r="R88" s="17"/>
      <c r="S88" s="122"/>
      <c r="T88" s="123"/>
      <c r="U88" s="174"/>
      <c r="V88" s="102"/>
      <c r="W88" s="102"/>
      <c r="X88" s="102"/>
      <c r="Y88" s="102"/>
      <c r="Z88" s="102"/>
      <c r="AA88" s="102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  <c r="AM88" s="174"/>
      <c r="AN88" s="123"/>
    </row>
    <row r="89" spans="1:40" x14ac:dyDescent="0.25">
      <c r="A89" s="123"/>
      <c r="B89" s="123"/>
      <c r="C89" s="123"/>
      <c r="D89" s="123"/>
      <c r="E89" s="123"/>
      <c r="F89" s="123"/>
      <c r="G89" s="123"/>
      <c r="H89" s="17"/>
      <c r="I89" s="540" t="str">
        <f>I80</f>
        <v>U, B (при I = 1A / 0°)</v>
      </c>
      <c r="J89" s="559" t="s">
        <v>56</v>
      </c>
      <c r="K89" s="535" t="str">
        <f>CONCATENATE(TEXT(ABS(IF(OR(P33="",P33=0),N33,P33)*IF(E35=1,2*E33,1)),"0,00")," / ",TEXT(L33,"0,0"),CHAR(176))</f>
        <v>8,00 / 270,0°</v>
      </c>
      <c r="L89" s="519" t="str">
        <f>CONCATENATE(TEXT(ABS(IF(OR(Q33="",Q33=0),N33,Q33)*IF(E35=1,2*E33,1)),"0,00")," / ",TEXT(L33,"0,0"),CHAR(176))</f>
        <v>8,00 / 270,0°</v>
      </c>
      <c r="M89" s="521" t="str">
        <f>CONCATENATE(TEXT(ABS(IF(OR(R33="",R33=0),N33,R33)*IF(E35=1,2*E33,1)),"0,00")," / ",TEXT(L33,"0,0"),CHAR(176))</f>
        <v>8,00 / 270,0°</v>
      </c>
      <c r="N89" s="17"/>
      <c r="O89" s="17"/>
      <c r="P89" s="17"/>
      <c r="Q89" s="17"/>
      <c r="R89" s="17"/>
      <c r="S89" s="122"/>
      <c r="T89" s="123"/>
      <c r="U89" s="174"/>
      <c r="V89" s="102"/>
      <c r="W89" s="102"/>
      <c r="X89" s="102"/>
      <c r="Y89" s="102"/>
      <c r="Z89" s="102"/>
      <c r="AA89" s="102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  <c r="AM89" s="174"/>
      <c r="AN89" s="123"/>
    </row>
    <row r="90" spans="1:40" x14ac:dyDescent="0.25">
      <c r="A90" s="123"/>
      <c r="B90" s="123"/>
      <c r="C90" s="123"/>
      <c r="D90" s="123"/>
      <c r="E90" s="123"/>
      <c r="F90" s="123"/>
      <c r="G90" s="123"/>
      <c r="H90" s="17"/>
      <c r="I90" s="541" t="s">
        <v>265</v>
      </c>
      <c r="J90" s="557">
        <f>IF(K45="-","-",E25)</f>
        <v>1</v>
      </c>
      <c r="K90" s="534">
        <f t="shared" ref="K90:M91" si="6">K64</f>
        <v>1</v>
      </c>
      <c r="L90" s="496">
        <f t="shared" si="6"/>
        <v>1</v>
      </c>
      <c r="M90" s="497">
        <f t="shared" si="6"/>
        <v>1</v>
      </c>
      <c r="N90" s="17"/>
      <c r="O90" s="17"/>
      <c r="P90" s="17"/>
      <c r="Q90" s="17"/>
      <c r="R90" s="17"/>
      <c r="S90" s="122"/>
      <c r="T90" s="123"/>
      <c r="U90" s="174"/>
      <c r="V90" s="102"/>
      <c r="W90" s="102"/>
      <c r="X90" s="102"/>
      <c r="Y90" s="102"/>
      <c r="Z90" s="102"/>
      <c r="AA90" s="102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  <c r="AM90" s="174"/>
      <c r="AN90" s="123"/>
    </row>
    <row r="91" spans="1:40" x14ac:dyDescent="0.25">
      <c r="A91" s="123"/>
      <c r="B91" s="123"/>
      <c r="C91" s="123"/>
      <c r="D91" s="123"/>
      <c r="E91" s="123"/>
      <c r="F91" s="123"/>
      <c r="G91" s="123"/>
      <c r="H91" s="17"/>
      <c r="I91" s="526" t="s">
        <v>123</v>
      </c>
      <c r="J91" s="554" t="s">
        <v>455</v>
      </c>
      <c r="K91" s="531">
        <f t="shared" si="6"/>
        <v>0</v>
      </c>
      <c r="L91" s="508">
        <f t="shared" si="6"/>
        <v>0</v>
      </c>
      <c r="M91" s="509">
        <f t="shared" si="6"/>
        <v>0</v>
      </c>
      <c r="N91" s="17"/>
      <c r="O91" s="17"/>
      <c r="P91" s="17"/>
      <c r="Q91" s="17"/>
      <c r="R91" s="17"/>
      <c r="S91" s="122"/>
      <c r="T91" s="123"/>
      <c r="U91" s="174"/>
      <c r="V91" s="102"/>
      <c r="W91" s="102"/>
      <c r="X91" s="102"/>
      <c r="Y91" s="102"/>
      <c r="Z91" s="102"/>
      <c r="AA91" s="102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  <c r="AM91" s="174"/>
      <c r="AN91" s="123"/>
    </row>
    <row r="92" spans="1:40" x14ac:dyDescent="0.25">
      <c r="A92" s="123"/>
      <c r="B92" s="123"/>
      <c r="C92" s="123"/>
      <c r="D92" s="123"/>
      <c r="E92" s="123"/>
      <c r="F92" s="123"/>
      <c r="G92" s="123"/>
      <c r="H92" s="17"/>
      <c r="I92" s="542" t="str">
        <f>I80</f>
        <v>U, B (при I = 1A / 0°)</v>
      </c>
      <c r="J92" s="560" t="s">
        <v>56</v>
      </c>
      <c r="K92" s="536" t="str">
        <f>IF(K40="-","-",CONCATENATE(TEXT(ABS(IF(OR(P40="",P40=0),N40,P40)*IF(E35=1,2*E33,1)),"0,00")," / ",TEXT(L40,"0,0"),CHAR(176)))</f>
        <v>10,00 / 0,0°</v>
      </c>
      <c r="L92" s="498" t="str">
        <f>IF(K40="-","-",CONCATENATE(TEXT(ABS(IF(OR(Q40="",Q40=0),N40,Q40)*IF(E35=1,2*E33,1)),"0,00")," / ",TEXT(L40,"0,0"),CHAR(176)))</f>
        <v>10,00 / 0,0°</v>
      </c>
      <c r="M92" s="499" t="str">
        <f>IF(K40="-","-",CONCATENATE(TEXT(ABS(IF(OR(R40="",R40=0),N40,R40)*IF(E35=1,2*E33,1)),"0,00")," / ",TEXT(L40,"0,0"),CHAR(176)))</f>
        <v>10,00 / 0,0°</v>
      </c>
      <c r="N92" s="17"/>
      <c r="O92" s="17"/>
      <c r="P92" s="17"/>
      <c r="Q92" s="17"/>
      <c r="R92" s="17"/>
      <c r="S92" s="122"/>
      <c r="T92" s="123"/>
      <c r="U92" s="174"/>
      <c r="V92" s="102"/>
      <c r="W92" s="102"/>
      <c r="X92" s="102"/>
      <c r="Y92" s="102"/>
      <c r="Z92" s="102"/>
      <c r="AA92" s="102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  <c r="AM92" s="174"/>
      <c r="AN92" s="123"/>
    </row>
    <row r="93" spans="1:40" x14ac:dyDescent="0.25">
      <c r="A93" s="123"/>
      <c r="B93" s="123"/>
      <c r="C93" s="123"/>
      <c r="D93" s="123"/>
      <c r="E93" s="123"/>
      <c r="F93" s="123"/>
      <c r="G93" s="123"/>
      <c r="H93" s="17"/>
      <c r="I93" s="541" t="s">
        <v>476</v>
      </c>
      <c r="J93" s="557">
        <f>IF(K46="-","-",E26)</f>
        <v>15</v>
      </c>
      <c r="K93" s="534">
        <f t="shared" ref="K93:M94" si="7">K66</f>
        <v>14.999999999999998</v>
      </c>
      <c r="L93" s="496">
        <f t="shared" si="7"/>
        <v>14.999999999999998</v>
      </c>
      <c r="M93" s="497">
        <f t="shared" si="7"/>
        <v>14.999999999999998</v>
      </c>
      <c r="N93" s="17"/>
      <c r="O93" s="17"/>
      <c r="P93" s="17"/>
      <c r="Q93" s="17"/>
      <c r="R93" s="17"/>
      <c r="S93" s="122"/>
      <c r="T93" s="123"/>
      <c r="U93" s="174"/>
      <c r="V93" s="102"/>
      <c r="W93" s="102"/>
      <c r="X93" s="102"/>
      <c r="Y93" s="102"/>
      <c r="Z93" s="102"/>
      <c r="AA93" s="102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  <c r="AM93" s="174"/>
      <c r="AN93" s="123"/>
    </row>
    <row r="94" spans="1:40" x14ac:dyDescent="0.25">
      <c r="A94" s="123"/>
      <c r="B94" s="123"/>
      <c r="C94" s="123"/>
      <c r="D94" s="123"/>
      <c r="E94" s="123"/>
      <c r="F94" s="123"/>
      <c r="G94" s="123"/>
      <c r="H94" s="17"/>
      <c r="I94" s="526" t="s">
        <v>477</v>
      </c>
      <c r="J94" s="554" t="s">
        <v>455</v>
      </c>
      <c r="K94" s="531">
        <f t="shared" si="7"/>
        <v>1.7763568394002505E-15</v>
      </c>
      <c r="L94" s="508">
        <f t="shared" si="7"/>
        <v>1.7763568394002505E-15</v>
      </c>
      <c r="M94" s="509">
        <f t="shared" si="7"/>
        <v>1.7763568394002505E-15</v>
      </c>
      <c r="N94" s="17"/>
      <c r="O94" s="17"/>
      <c r="P94" s="17"/>
      <c r="Q94" s="17"/>
      <c r="R94" s="17"/>
      <c r="S94" s="122"/>
      <c r="T94" s="123"/>
      <c r="U94" s="174"/>
      <c r="V94" s="102"/>
      <c r="W94" s="102"/>
      <c r="X94" s="102"/>
      <c r="Y94" s="102"/>
      <c r="Z94" s="102"/>
      <c r="AA94" s="102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23"/>
    </row>
    <row r="95" spans="1:40" x14ac:dyDescent="0.25">
      <c r="A95" s="123"/>
      <c r="B95" s="123"/>
      <c r="C95" s="123"/>
      <c r="D95" s="123"/>
      <c r="E95" s="123"/>
      <c r="F95" s="123"/>
      <c r="G95" s="123"/>
      <c r="H95" s="17"/>
      <c r="I95" s="540" t="str">
        <f>I80</f>
        <v>U, B (при I = 1A / 0°)</v>
      </c>
      <c r="J95" s="559" t="s">
        <v>56</v>
      </c>
      <c r="K95" s="535" t="str">
        <f>IF(K40="-","-",CONCATENATE(TEXT(ABS(K41*IF(E35=1,2*E33,1)),"0,00")," / ",TEXT(IF(OR(P41="",P41=0),N41,P41),"0,0"),CHAR(176)))</f>
        <v>19,00 / 15,0°</v>
      </c>
      <c r="L95" s="519" t="str">
        <f>IF(K40="-","-",CONCATENATE(TEXT(ABS(K41*IF(E35=1,2*E33,1)),"0,00")," / ",TEXT(IF(OR(Q41="",Q41=0),N41,Q41),"0,0"),CHAR(176)))</f>
        <v>19,00 / 15,0°</v>
      </c>
      <c r="M95" s="521" t="str">
        <f>IF(K40="-","-",CONCATENATE(TEXT(ABS(K41*IF(E35=1,2*E33,1)),"0,00")," / ",TEXT(IF(OR(R41="",R41=0),N41,R41),"0,0"),CHAR(176)))</f>
        <v>19,00 / 15,0°</v>
      </c>
      <c r="N95" s="17"/>
      <c r="O95" s="17"/>
      <c r="P95" s="17"/>
      <c r="Q95" s="17"/>
      <c r="R95" s="17"/>
      <c r="S95" s="122"/>
      <c r="T95" s="123"/>
      <c r="U95" s="174"/>
      <c r="V95" s="102"/>
      <c r="W95" s="102"/>
      <c r="X95" s="102"/>
      <c r="Y95" s="102"/>
      <c r="Z95" s="102"/>
      <c r="AA95" s="102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23"/>
    </row>
    <row r="96" spans="1:40" x14ac:dyDescent="0.25">
      <c r="A96" s="123"/>
      <c r="B96" s="123"/>
      <c r="C96" s="123"/>
      <c r="D96" s="123"/>
      <c r="E96" s="123"/>
      <c r="F96" s="123"/>
      <c r="G96" s="123"/>
      <c r="H96" s="17"/>
      <c r="I96" s="543" t="s">
        <v>266</v>
      </c>
      <c r="J96" s="558">
        <f>IF(K40="-","-",E25)</f>
        <v>1</v>
      </c>
      <c r="K96" s="537">
        <f t="shared" ref="K96:M97" si="8">K68</f>
        <v>1</v>
      </c>
      <c r="L96" s="492">
        <f t="shared" si="8"/>
        <v>1</v>
      </c>
      <c r="M96" s="493">
        <f t="shared" si="8"/>
        <v>1</v>
      </c>
      <c r="N96" s="17"/>
      <c r="O96" s="17"/>
      <c r="P96" s="17"/>
      <c r="Q96" s="17"/>
      <c r="R96" s="17"/>
      <c r="S96" s="122"/>
      <c r="T96" s="123"/>
      <c r="U96" s="174"/>
      <c r="V96" s="102"/>
      <c r="W96" s="102"/>
      <c r="X96" s="102"/>
      <c r="Y96" s="102"/>
      <c r="Z96" s="102"/>
      <c r="AA96" s="102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23"/>
    </row>
    <row r="97" spans="1:40" x14ac:dyDescent="0.25">
      <c r="A97" s="123"/>
      <c r="B97" s="123"/>
      <c r="C97" s="123"/>
      <c r="D97" s="123"/>
      <c r="E97" s="123"/>
      <c r="F97" s="123"/>
      <c r="G97" s="123"/>
      <c r="H97" s="17"/>
      <c r="I97" s="526" t="s">
        <v>123</v>
      </c>
      <c r="J97" s="554" t="s">
        <v>455</v>
      </c>
      <c r="K97" s="531">
        <f t="shared" si="8"/>
        <v>0</v>
      </c>
      <c r="L97" s="508">
        <f t="shared" si="8"/>
        <v>0</v>
      </c>
      <c r="M97" s="509">
        <f t="shared" si="8"/>
        <v>0</v>
      </c>
      <c r="N97" s="17"/>
      <c r="O97" s="17"/>
      <c r="P97" s="17"/>
      <c r="Q97" s="17"/>
      <c r="R97" s="17"/>
      <c r="S97" s="122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</row>
    <row r="98" spans="1:40" x14ac:dyDescent="0.25">
      <c r="A98" s="123"/>
      <c r="B98" s="123"/>
      <c r="C98" s="123"/>
      <c r="D98" s="123"/>
      <c r="E98" s="123"/>
      <c r="F98" s="123"/>
      <c r="G98" s="123"/>
      <c r="H98" s="17"/>
      <c r="I98" s="540" t="str">
        <f>I80</f>
        <v>U, B (при I = 1A / 0°)</v>
      </c>
      <c r="J98" s="556" t="s">
        <v>56</v>
      </c>
      <c r="K98" s="532" t="str">
        <f>IF(K45="-","-",CONCATENATE(TEXT(ABS(IF(OR(P45="",P45=0),N45,P45)*IF(E35=1,2*E33,1)),"0,00")," / ",TEXT(L45,"0,0"),CHAR(176)))</f>
        <v>10,00 / 0,0°</v>
      </c>
      <c r="L98" s="518" t="str">
        <f>IF(K45="-","-",CONCATENATE(TEXT(ABS(IF(OR(Q45="",Q45=0),N45,Q45)*IF(E35=1,2*E33,1)),"0,00")," / ",TEXT(L45,"0,0"),CHAR(176)))</f>
        <v>10,00 / 0,0°</v>
      </c>
      <c r="M98" s="520" t="str">
        <f>IF(K45="-","-",CONCATENATE(TEXT(ABS(IF(OR(R45="",R45=0),N45,R45)*IF(E35=1,2*E33,1)),"0,00")," / ",TEXT(L45,"0,0"),CHAR(176)))</f>
        <v>10,00 / 0,0°</v>
      </c>
      <c r="N98" s="17"/>
      <c r="O98" s="17"/>
      <c r="P98" s="17"/>
      <c r="Q98" s="17"/>
      <c r="R98" s="17"/>
      <c r="S98" s="122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</row>
    <row r="99" spans="1:40" x14ac:dyDescent="0.25">
      <c r="A99" s="123"/>
      <c r="B99" s="123"/>
      <c r="C99" s="123"/>
      <c r="D99" s="123"/>
      <c r="E99" s="123"/>
      <c r="F99" s="123"/>
      <c r="G99" s="123"/>
      <c r="H99" s="17"/>
      <c r="I99" s="543" t="s">
        <v>478</v>
      </c>
      <c r="J99" s="557">
        <f>IF(K41="-","-",E26)</f>
        <v>15</v>
      </c>
      <c r="K99" s="538">
        <f t="shared" ref="K99:M100" si="9">K70</f>
        <v>15</v>
      </c>
      <c r="L99" s="500">
        <f t="shared" si="9"/>
        <v>15</v>
      </c>
      <c r="M99" s="501">
        <f t="shared" si="9"/>
        <v>15</v>
      </c>
      <c r="N99" s="17"/>
      <c r="O99" s="17"/>
      <c r="P99" s="17"/>
      <c r="Q99" s="17"/>
      <c r="R99" s="17"/>
      <c r="S99" s="122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</row>
    <row r="100" spans="1:40" ht="15.75" x14ac:dyDescent="0.25">
      <c r="A100" s="123"/>
      <c r="B100" s="123"/>
      <c r="C100" s="123"/>
      <c r="D100" s="123"/>
      <c r="E100" s="123"/>
      <c r="F100" s="123"/>
      <c r="G100" s="123"/>
      <c r="H100" s="17"/>
      <c r="I100" s="526" t="s">
        <v>467</v>
      </c>
      <c r="J100" s="554" t="s">
        <v>455</v>
      </c>
      <c r="K100" s="531">
        <f t="shared" si="9"/>
        <v>0</v>
      </c>
      <c r="L100" s="508">
        <f t="shared" si="9"/>
        <v>0</v>
      </c>
      <c r="M100" s="509">
        <f t="shared" si="9"/>
        <v>0</v>
      </c>
      <c r="N100" s="17"/>
      <c r="O100" s="17"/>
      <c r="P100" s="17"/>
      <c r="Q100" s="17"/>
      <c r="R100" s="17"/>
      <c r="S100" s="122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</row>
    <row r="101" spans="1:40" ht="15.75" thickBot="1" x14ac:dyDescent="0.3">
      <c r="A101" s="123"/>
      <c r="B101" s="123"/>
      <c r="C101" s="123"/>
      <c r="D101" s="123"/>
      <c r="E101" s="123"/>
      <c r="F101" s="123"/>
      <c r="G101" s="123"/>
      <c r="H101" s="17"/>
      <c r="I101" s="524" t="str">
        <f>I80</f>
        <v>U, B (при I = 1A / 0°)</v>
      </c>
      <c r="J101" s="561" t="s">
        <v>56</v>
      </c>
      <c r="K101" s="539" t="str">
        <f>IF(K45="-","-",CONCATENATE(TEXT(ABS(K46*IF(E35=1,2*E33,1)),"0,00")," / ",TEXT(IF(OR(P46="",P46=0),N46,P46),"0,0"),CHAR(176)))</f>
        <v>19,00 / 195,0°</v>
      </c>
      <c r="L101" s="514" t="str">
        <f>IF(K45="-","-",CONCATENATE(TEXT(ABS(K46*IF(E35=1,2*E33,1)),"0,00")," / ",TEXT(IF(OR(Q46="",Q46=0),N46,Q46),"0,0"),CHAR(176)))</f>
        <v>19,00 / 195,0°</v>
      </c>
      <c r="M101" s="515" t="str">
        <f>IF(K45="-","-",CONCATENATE(TEXT(ABS(K46*IF(E35=1,2*E33,1)),"0,00")," / ",TEXT(IF(OR(R46="",R46=0),N46,R46),"0,0"),CHAR(176)))</f>
        <v>19,00 / 195,0°</v>
      </c>
      <c r="N101" s="17"/>
      <c r="O101" s="17"/>
      <c r="P101" s="17"/>
      <c r="Q101" s="17"/>
      <c r="R101" s="17"/>
      <c r="S101" s="122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</row>
    <row r="102" spans="1:40" x14ac:dyDescent="0.25">
      <c r="A102" s="123"/>
      <c r="B102" s="123"/>
      <c r="C102" s="123"/>
      <c r="D102" s="123"/>
      <c r="E102" s="123"/>
      <c r="F102" s="123"/>
      <c r="G102" s="123"/>
      <c r="H102" s="17"/>
      <c r="I102" s="17"/>
      <c r="J102" s="17"/>
      <c r="K102" s="135"/>
      <c r="L102" s="135"/>
      <c r="M102" s="135"/>
      <c r="N102" s="17"/>
      <c r="O102" s="17"/>
      <c r="P102" s="17"/>
      <c r="Q102" s="17"/>
      <c r="R102" s="17"/>
      <c r="S102" s="122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</row>
    <row r="103" spans="1:40" x14ac:dyDescent="0.25">
      <c r="A103" s="123"/>
      <c r="B103" s="123"/>
      <c r="C103" s="123"/>
      <c r="D103" s="123"/>
      <c r="E103" s="123"/>
      <c r="F103" s="123"/>
      <c r="G103" s="123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22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</row>
    <row r="104" spans="1:40" x14ac:dyDescent="0.25">
      <c r="A104" s="123"/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</row>
    <row r="105" spans="1:40" x14ac:dyDescent="0.25">
      <c r="A105" s="123"/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</row>
    <row r="106" spans="1:40" x14ac:dyDescent="0.25">
      <c r="A106" s="123"/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</row>
  </sheetData>
  <sheetProtection sheet="1" objects="1" scenarios="1" selectLockedCells="1"/>
  <mergeCells count="25">
    <mergeCell ref="V28:W29"/>
    <mergeCell ref="I76:I77"/>
    <mergeCell ref="J76:J77"/>
    <mergeCell ref="K76:M76"/>
    <mergeCell ref="I51:I52"/>
    <mergeCell ref="I54:J55"/>
    <mergeCell ref="I66:J66"/>
    <mergeCell ref="I67:J67"/>
    <mergeCell ref="I60:J60"/>
    <mergeCell ref="I68:J68"/>
    <mergeCell ref="I69:J69"/>
    <mergeCell ref="I70:J70"/>
    <mergeCell ref="I71:J71"/>
    <mergeCell ref="I58:J58"/>
    <mergeCell ref="I59:J59"/>
    <mergeCell ref="I62:J62"/>
    <mergeCell ref="I63:J63"/>
    <mergeCell ref="A1:B3"/>
    <mergeCell ref="C1:O3"/>
    <mergeCell ref="I65:J65"/>
    <mergeCell ref="K54:M54"/>
    <mergeCell ref="I56:J56"/>
    <mergeCell ref="I57:J57"/>
    <mergeCell ref="I64:J64"/>
    <mergeCell ref="I61:J61"/>
  </mergeCells>
  <hyperlinks>
    <hyperlink ref="A1:B3" location="Содержание!D32" display=")"/>
  </hyperlinks>
  <pageMargins left="0.7" right="0.7" top="0.75" bottom="0.75" header="0.3" footer="0.3"/>
  <pageSetup paperSize="9" orientation="portrait" horizontalDpi="300" r:id="rId1"/>
  <drawing r:id="rId2"/>
  <legacyDrawing r:id="rId3"/>
  <oleObjects>
    <mc:AlternateContent xmlns:mc="http://schemas.openxmlformats.org/markup-compatibility/2006">
      <mc:Choice Requires="x14">
        <oleObject progId="Visio.Drawing.15" shapeId="4296634" r:id="rId4">
          <objectPr defaultSize="0" r:id="rId5">
            <anchor moveWithCells="1">
              <from>
                <xdr:col>1</xdr:col>
                <xdr:colOff>0</xdr:colOff>
                <xdr:row>49</xdr:row>
                <xdr:rowOff>0</xdr:rowOff>
              </from>
              <to>
                <xdr:col>4</xdr:col>
                <xdr:colOff>438150</xdr:colOff>
                <xdr:row>72</xdr:row>
                <xdr:rowOff>161925</xdr:rowOff>
              </to>
            </anchor>
          </objectPr>
        </oleObject>
      </mc:Choice>
      <mc:Fallback>
        <oleObject progId="Visio.Drawing.15" shapeId="4296634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"/>
  <dimension ref="A1:AF78"/>
  <sheetViews>
    <sheetView zoomScale="80" zoomScaleNormal="80" workbookViewId="0">
      <pane ySplit="3" topLeftCell="A4" activePane="bottomLeft" state="frozen"/>
      <selection pane="bottomLeft" activeCell="E18" sqref="E18"/>
    </sheetView>
  </sheetViews>
  <sheetFormatPr defaultRowHeight="15" x14ac:dyDescent="0.25"/>
  <cols>
    <col min="1" max="1" width="4.42578125" customWidth="1"/>
    <col min="2" max="2" width="4.28515625" customWidth="1"/>
    <col min="3" max="3" width="45.28515625" customWidth="1"/>
    <col min="4" max="4" width="14.5703125" bestFit="1" customWidth="1"/>
    <col min="5" max="5" width="13.7109375" customWidth="1"/>
    <col min="6" max="7" width="4.5703125" customWidth="1"/>
    <col min="8" max="8" width="4.140625" customWidth="1"/>
    <col min="9" max="9" width="30.140625" customWidth="1"/>
    <col min="10" max="10" width="14.28515625" customWidth="1"/>
    <col min="11" max="11" width="14.5703125" customWidth="1"/>
    <col min="12" max="12" width="13" customWidth="1"/>
    <col min="13" max="13" width="14.5703125" customWidth="1"/>
    <col min="14" max="14" width="14.140625" customWidth="1"/>
    <col min="15" max="15" width="11.42578125" customWidth="1"/>
    <col min="16" max="16" width="12.85546875" customWidth="1"/>
    <col min="17" max="19" width="4.5703125" customWidth="1"/>
    <col min="20" max="20" width="10.42578125" customWidth="1"/>
    <col min="21" max="21" width="10.28515625" customWidth="1"/>
    <col min="23" max="23" width="10.5703125" customWidth="1"/>
    <col min="24" max="24" width="10" customWidth="1"/>
    <col min="29" max="29" width="9.140625" customWidth="1"/>
    <col min="31" max="31" width="4.5703125" customWidth="1"/>
  </cols>
  <sheetData>
    <row r="1" spans="1:32" ht="15" customHeight="1" x14ac:dyDescent="0.25">
      <c r="A1" s="727" t="s">
        <v>427</v>
      </c>
      <c r="B1" s="727"/>
      <c r="C1" s="736" t="s">
        <v>309</v>
      </c>
      <c r="D1" s="736"/>
      <c r="E1" s="736"/>
      <c r="F1" s="736"/>
      <c r="G1" s="736"/>
      <c r="H1" s="736"/>
      <c r="I1" s="736"/>
      <c r="J1" s="736"/>
      <c r="K1" s="736"/>
      <c r="L1" s="736"/>
      <c r="M1" s="736"/>
      <c r="N1" s="736"/>
      <c r="O1" s="736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</row>
    <row r="2" spans="1:32" ht="15" customHeight="1" x14ac:dyDescent="0.25">
      <c r="A2" s="727"/>
      <c r="B2" s="727"/>
      <c r="C2" s="736"/>
      <c r="D2" s="736"/>
      <c r="E2" s="736"/>
      <c r="F2" s="736"/>
      <c r="G2" s="736"/>
      <c r="H2" s="736"/>
      <c r="I2" s="736"/>
      <c r="J2" s="736"/>
      <c r="K2" s="736"/>
      <c r="L2" s="736"/>
      <c r="M2" s="736"/>
      <c r="N2" s="736"/>
      <c r="O2" s="736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</row>
    <row r="3" spans="1:32" ht="15" customHeight="1" x14ac:dyDescent="0.25">
      <c r="A3" s="727"/>
      <c r="B3" s="727"/>
      <c r="C3" s="736"/>
      <c r="D3" s="736"/>
      <c r="E3" s="736"/>
      <c r="F3" s="736"/>
      <c r="G3" s="736"/>
      <c r="H3" s="736"/>
      <c r="I3" s="736"/>
      <c r="J3" s="736"/>
      <c r="K3" s="736"/>
      <c r="L3" s="736"/>
      <c r="M3" s="736"/>
      <c r="N3" s="736"/>
      <c r="O3" s="736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</row>
    <row r="4" spans="1:32" x14ac:dyDescent="0.25">
      <c r="A4" s="633"/>
      <c r="B4" s="633"/>
      <c r="C4" s="633"/>
      <c r="D4" s="633"/>
      <c r="E4" s="633"/>
      <c r="F4" s="634"/>
      <c r="G4" s="634"/>
      <c r="H4" s="633"/>
      <c r="I4" s="635"/>
      <c r="J4" s="633"/>
      <c r="K4" s="633"/>
      <c r="L4" s="633"/>
      <c r="M4" s="633"/>
      <c r="N4" s="633"/>
      <c r="O4" s="633"/>
      <c r="P4" s="633"/>
      <c r="Q4" s="633"/>
      <c r="R4" s="633"/>
      <c r="S4" s="633"/>
      <c r="T4" s="633"/>
      <c r="U4" s="634"/>
      <c r="V4" s="635"/>
      <c r="W4" s="635"/>
      <c r="X4" s="633"/>
      <c r="Y4" s="633"/>
      <c r="Z4" s="633"/>
      <c r="AA4" s="633"/>
      <c r="AB4" s="633"/>
      <c r="AC4" s="633"/>
      <c r="AD4" s="633"/>
      <c r="AE4" s="633"/>
      <c r="AF4" s="633"/>
    </row>
    <row r="5" spans="1:32" x14ac:dyDescent="0.25">
      <c r="A5" s="633"/>
      <c r="B5" s="636" t="s">
        <v>513</v>
      </c>
      <c r="C5" s="636"/>
      <c r="D5" s="633"/>
      <c r="E5" s="633"/>
      <c r="F5" s="634"/>
      <c r="G5" s="634"/>
      <c r="H5" s="633"/>
      <c r="I5" s="635"/>
      <c r="J5" s="633"/>
      <c r="K5" s="633"/>
      <c r="L5" s="633"/>
      <c r="M5" s="633"/>
      <c r="N5" s="633"/>
      <c r="O5" s="633"/>
      <c r="P5" s="633"/>
      <c r="Q5" s="633"/>
      <c r="R5" s="633"/>
      <c r="S5" s="633"/>
      <c r="T5" s="633"/>
      <c r="U5" s="634"/>
      <c r="V5" s="635"/>
      <c r="W5" s="635"/>
      <c r="X5" s="633"/>
      <c r="Y5" s="633"/>
      <c r="Z5" s="633"/>
      <c r="AA5" s="633"/>
      <c r="AB5" s="633"/>
      <c r="AC5" s="633"/>
      <c r="AD5" s="633"/>
      <c r="AE5" s="633"/>
      <c r="AF5" s="633"/>
    </row>
    <row r="6" spans="1:32" x14ac:dyDescent="0.25">
      <c r="A6" s="633"/>
      <c r="B6" s="636" t="s">
        <v>481</v>
      </c>
      <c r="C6" s="636"/>
      <c r="D6" s="633"/>
      <c r="E6" s="633"/>
      <c r="F6" s="634"/>
      <c r="G6" s="634"/>
      <c r="H6" s="633"/>
      <c r="I6" s="635"/>
      <c r="J6" s="633"/>
      <c r="K6" s="633"/>
      <c r="L6" s="633"/>
      <c r="M6" s="633"/>
      <c r="N6" s="633"/>
      <c r="O6" s="633"/>
      <c r="P6" s="633"/>
      <c r="Q6" s="633"/>
      <c r="R6" s="633"/>
      <c r="S6" s="633"/>
      <c r="T6" s="633"/>
      <c r="U6" s="634"/>
      <c r="V6" s="635"/>
      <c r="W6" s="635"/>
      <c r="X6" s="633"/>
      <c r="Y6" s="633"/>
      <c r="Z6" s="633"/>
      <c r="AA6" s="633"/>
      <c r="AB6" s="633"/>
      <c r="AC6" s="633"/>
      <c r="AD6" s="633"/>
      <c r="AE6" s="633"/>
      <c r="AF6" s="633"/>
    </row>
    <row r="7" spans="1:32" x14ac:dyDescent="0.25">
      <c r="A7" s="633"/>
      <c r="B7" s="636"/>
      <c r="C7" s="636" t="s">
        <v>485</v>
      </c>
      <c r="D7" s="633"/>
      <c r="E7" s="633"/>
      <c r="F7" s="634"/>
      <c r="G7" s="634"/>
      <c r="H7" s="633"/>
      <c r="I7" s="635"/>
      <c r="J7" s="633"/>
      <c r="K7" s="633"/>
      <c r="L7" s="633"/>
      <c r="M7" s="633"/>
      <c r="N7" s="633"/>
      <c r="O7" s="633"/>
      <c r="P7" s="633"/>
      <c r="Q7" s="633"/>
      <c r="R7" s="633"/>
      <c r="S7" s="633"/>
      <c r="T7" s="633"/>
      <c r="U7" s="634"/>
      <c r="V7" s="635"/>
      <c r="W7" s="635"/>
      <c r="X7" s="633"/>
      <c r="Y7" s="633"/>
      <c r="Z7" s="633"/>
      <c r="AA7" s="633"/>
      <c r="AB7" s="633"/>
      <c r="AC7" s="633"/>
      <c r="AD7" s="633"/>
      <c r="AE7" s="633"/>
      <c r="AF7" s="633"/>
    </row>
    <row r="8" spans="1:32" x14ac:dyDescent="0.25">
      <c r="A8" s="633"/>
      <c r="B8" s="636"/>
      <c r="C8" s="636" t="s">
        <v>482</v>
      </c>
      <c r="D8" s="633"/>
      <c r="E8" s="633"/>
      <c r="F8" s="634"/>
      <c r="G8" s="634"/>
      <c r="H8" s="633"/>
      <c r="I8" s="635"/>
      <c r="J8" s="633"/>
      <c r="K8" s="633"/>
      <c r="L8" s="633"/>
      <c r="M8" s="633"/>
      <c r="N8" s="633"/>
      <c r="O8" s="633"/>
      <c r="P8" s="633"/>
      <c r="Q8" s="633"/>
      <c r="R8" s="633"/>
      <c r="S8" s="633"/>
      <c r="T8" s="633"/>
      <c r="U8" s="634"/>
      <c r="V8" s="635"/>
      <c r="W8" s="635"/>
      <c r="X8" s="633"/>
      <c r="Y8" s="633"/>
      <c r="Z8" s="633"/>
      <c r="AA8" s="633"/>
      <c r="AB8" s="633"/>
      <c r="AC8" s="633"/>
      <c r="AD8" s="633"/>
      <c r="AE8" s="633"/>
      <c r="AF8" s="633"/>
    </row>
    <row r="9" spans="1:32" x14ac:dyDescent="0.25">
      <c r="A9" s="633"/>
      <c r="B9" s="636"/>
      <c r="C9" s="636" t="s">
        <v>483</v>
      </c>
      <c r="D9" s="633"/>
      <c r="E9" s="633"/>
      <c r="F9" s="634"/>
      <c r="G9" s="634"/>
      <c r="H9" s="633"/>
      <c r="I9" s="635"/>
      <c r="J9" s="633"/>
      <c r="K9" s="633"/>
      <c r="L9" s="633"/>
      <c r="M9" s="633"/>
      <c r="N9" s="633"/>
      <c r="O9" s="633"/>
      <c r="P9" s="633"/>
      <c r="Q9" s="633"/>
      <c r="R9" s="633"/>
      <c r="S9" s="633"/>
      <c r="T9" s="633"/>
      <c r="U9" s="634"/>
      <c r="V9" s="635"/>
      <c r="W9" s="635"/>
      <c r="X9" s="633"/>
      <c r="Y9" s="633"/>
      <c r="Z9" s="633"/>
      <c r="AA9" s="633"/>
      <c r="AB9" s="633"/>
      <c r="AC9" s="633"/>
      <c r="AD9" s="633"/>
      <c r="AE9" s="633"/>
      <c r="AF9" s="633"/>
    </row>
    <row r="10" spans="1:32" x14ac:dyDescent="0.25">
      <c r="A10" s="633"/>
      <c r="B10" s="636"/>
      <c r="C10" s="636" t="s">
        <v>484</v>
      </c>
      <c r="D10" s="633"/>
      <c r="E10" s="633"/>
      <c r="F10" s="634"/>
      <c r="G10" s="634"/>
      <c r="H10" s="633"/>
      <c r="I10" s="635"/>
      <c r="J10" s="633"/>
      <c r="K10" s="633"/>
      <c r="L10" s="633"/>
      <c r="M10" s="633"/>
      <c r="N10" s="633"/>
      <c r="O10" s="633"/>
      <c r="P10" s="633"/>
      <c r="Q10" s="633"/>
      <c r="R10" s="633"/>
      <c r="S10" s="633"/>
      <c r="T10" s="633"/>
      <c r="U10" s="634"/>
      <c r="V10" s="635"/>
      <c r="W10" s="635"/>
      <c r="X10" s="633"/>
      <c r="Y10" s="633"/>
      <c r="Z10" s="633"/>
      <c r="AA10" s="633"/>
      <c r="AB10" s="633"/>
      <c r="AC10" s="633"/>
      <c r="AD10" s="633"/>
      <c r="AE10" s="633"/>
      <c r="AF10" s="633"/>
    </row>
    <row r="11" spans="1:32" x14ac:dyDescent="0.25">
      <c r="A11" s="633"/>
      <c r="B11" s="636" t="s">
        <v>488</v>
      </c>
      <c r="C11" s="636"/>
      <c r="D11" s="633"/>
      <c r="E11" s="633"/>
      <c r="F11" s="634"/>
      <c r="G11" s="634"/>
      <c r="H11" s="633"/>
      <c r="I11" s="635"/>
      <c r="J11" s="633"/>
      <c r="K11" s="633"/>
      <c r="L11" s="633"/>
      <c r="M11" s="633"/>
      <c r="N11" s="633"/>
      <c r="O11" s="633"/>
      <c r="P11" s="633"/>
      <c r="Q11" s="633"/>
      <c r="R11" s="633"/>
      <c r="S11" s="633"/>
      <c r="T11" s="633"/>
      <c r="U11" s="634"/>
      <c r="V11" s="635"/>
      <c r="W11" s="635"/>
      <c r="X11" s="633"/>
      <c r="Y11" s="633"/>
      <c r="Z11" s="633"/>
      <c r="AA11" s="633"/>
      <c r="AB11" s="633"/>
      <c r="AC11" s="633"/>
      <c r="AD11" s="633"/>
      <c r="AE11" s="633"/>
      <c r="AF11" s="633"/>
    </row>
    <row r="12" spans="1:32" x14ac:dyDescent="0.25">
      <c r="A12" s="633"/>
      <c r="B12" s="633"/>
      <c r="C12" s="633"/>
      <c r="D12" s="633"/>
      <c r="E12" s="633"/>
      <c r="F12" s="634"/>
      <c r="G12" s="634"/>
      <c r="H12" s="633"/>
      <c r="I12" s="635"/>
      <c r="J12" s="633"/>
      <c r="K12" s="633"/>
      <c r="L12" s="633"/>
      <c r="M12" s="633"/>
      <c r="N12" s="633"/>
      <c r="O12" s="633"/>
      <c r="P12" s="633"/>
      <c r="Q12" s="633"/>
      <c r="R12" s="633"/>
      <c r="S12" s="633"/>
      <c r="T12" s="633"/>
      <c r="U12" s="634"/>
      <c r="V12" s="635"/>
      <c r="W12" s="635"/>
      <c r="X12" s="633"/>
      <c r="Y12" s="633"/>
      <c r="Z12" s="633"/>
      <c r="AA12" s="633"/>
      <c r="AB12" s="633"/>
      <c r="AC12" s="633"/>
      <c r="AD12" s="633"/>
      <c r="AE12" s="633"/>
      <c r="AF12" s="633"/>
    </row>
    <row r="13" spans="1:32" x14ac:dyDescent="0.25">
      <c r="A13" s="17"/>
      <c r="B13" s="43"/>
      <c r="C13" s="43"/>
      <c r="D13" s="43"/>
      <c r="E13" s="43"/>
      <c r="F13" s="122"/>
      <c r="G13" s="632"/>
      <c r="H13" s="44"/>
      <c r="I13" s="43"/>
      <c r="J13" s="43"/>
      <c r="K13" s="43"/>
      <c r="L13" s="43"/>
      <c r="M13" s="43"/>
      <c r="N13" s="43"/>
      <c r="O13" s="43"/>
      <c r="P13" s="43"/>
      <c r="Q13" s="122"/>
      <c r="R13" s="632"/>
      <c r="S13" s="44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122"/>
      <c r="AF13" s="123"/>
    </row>
    <row r="14" spans="1:32" ht="18" x14ac:dyDescent="0.25">
      <c r="A14" s="17"/>
      <c r="B14" s="8" t="s">
        <v>82</v>
      </c>
      <c r="C14" s="5"/>
      <c r="D14" s="5"/>
      <c r="E14" s="5"/>
      <c r="F14" s="122"/>
      <c r="G14" s="632"/>
      <c r="H14" s="44"/>
      <c r="I14" s="8" t="s">
        <v>487</v>
      </c>
      <c r="J14" s="4"/>
      <c r="K14" s="4"/>
      <c r="L14" s="4"/>
      <c r="M14" s="4"/>
      <c r="N14" s="4"/>
      <c r="O14" s="4"/>
      <c r="P14" s="4"/>
      <c r="Q14" s="122"/>
      <c r="R14" s="632"/>
      <c r="S14" s="44"/>
      <c r="T14" s="8" t="s">
        <v>160</v>
      </c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22"/>
      <c r="AF14" s="123"/>
    </row>
    <row r="15" spans="1:32" ht="15.75" thickBot="1" x14ac:dyDescent="0.3">
      <c r="A15" s="17"/>
      <c r="B15" s="43"/>
      <c r="C15" s="43"/>
      <c r="D15" s="43"/>
      <c r="E15" s="43"/>
      <c r="F15" s="122"/>
      <c r="G15" s="632"/>
      <c r="H15" s="44"/>
      <c r="I15" s="43"/>
      <c r="J15" s="43"/>
      <c r="K15" s="43"/>
      <c r="L15" s="43"/>
      <c r="M15" s="43"/>
      <c r="N15" s="53"/>
      <c r="O15" s="43"/>
      <c r="P15" s="43"/>
      <c r="Q15" s="122"/>
      <c r="R15" s="632"/>
      <c r="S15" s="44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122"/>
      <c r="AF15" s="123"/>
    </row>
    <row r="16" spans="1:32" ht="16.5" thickBot="1" x14ac:dyDescent="0.3">
      <c r="A16" s="17"/>
      <c r="B16" s="45" t="s">
        <v>62</v>
      </c>
      <c r="C16" s="45" t="s">
        <v>63</v>
      </c>
      <c r="D16" s="45" t="s">
        <v>64</v>
      </c>
      <c r="E16" s="45" t="s">
        <v>65</v>
      </c>
      <c r="F16" s="122"/>
      <c r="G16" s="632"/>
      <c r="H16" s="44"/>
      <c r="I16" s="127" t="s">
        <v>162</v>
      </c>
      <c r="J16" s="17"/>
      <c r="K16" s="17"/>
      <c r="L16" s="17"/>
      <c r="M16" s="17"/>
      <c r="N16" s="17"/>
      <c r="O16" s="17"/>
      <c r="P16" s="17"/>
      <c r="Q16" s="122"/>
      <c r="R16" s="632"/>
      <c r="S16" s="44"/>
      <c r="T16" s="127" t="s">
        <v>449</v>
      </c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122"/>
      <c r="AF16" s="123"/>
    </row>
    <row r="17" spans="1:32" x14ac:dyDescent="0.25">
      <c r="A17" s="17"/>
      <c r="B17" s="43"/>
      <c r="C17" s="43"/>
      <c r="D17" s="43"/>
      <c r="E17" s="43"/>
      <c r="F17" s="122"/>
      <c r="G17" s="632"/>
      <c r="H17" s="44"/>
      <c r="I17" s="44" t="s">
        <v>301</v>
      </c>
      <c r="J17" s="17"/>
      <c r="K17" s="17"/>
      <c r="L17" s="17"/>
      <c r="M17" s="17"/>
      <c r="N17" s="17"/>
      <c r="O17" s="17"/>
      <c r="P17" s="17"/>
      <c r="Q17" s="122"/>
      <c r="R17" s="632"/>
      <c r="S17" s="44"/>
      <c r="T17" s="43" t="s">
        <v>491</v>
      </c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122"/>
      <c r="AF17" s="123"/>
    </row>
    <row r="18" spans="1:32" ht="15.75" thickBot="1" x14ac:dyDescent="0.3">
      <c r="A18" s="17"/>
      <c r="B18" s="46">
        <v>1</v>
      </c>
      <c r="C18" s="47" t="s">
        <v>83</v>
      </c>
      <c r="D18" s="47" t="s">
        <v>86</v>
      </c>
      <c r="E18" s="1">
        <v>20</v>
      </c>
      <c r="F18" s="151" t="str">
        <f>IF(ISNUMBER(E18),"","Err")</f>
        <v/>
      </c>
      <c r="G18" s="644"/>
      <c r="H18" s="44"/>
      <c r="I18" s="44" t="s">
        <v>224</v>
      </c>
      <c r="J18" s="17"/>
      <c r="K18" s="17"/>
      <c r="L18" s="17"/>
      <c r="M18" s="17"/>
      <c r="N18" s="17"/>
      <c r="O18" s="17"/>
      <c r="P18" s="17"/>
      <c r="Q18" s="122"/>
      <c r="R18" s="632"/>
      <c r="S18" s="44"/>
      <c r="T18" s="43" t="s">
        <v>492</v>
      </c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122"/>
      <c r="AF18" s="123"/>
    </row>
    <row r="19" spans="1:32" ht="15.75" thickBot="1" x14ac:dyDescent="0.3">
      <c r="A19" s="17"/>
      <c r="B19" s="46">
        <v>2</v>
      </c>
      <c r="C19" s="47" t="s">
        <v>84</v>
      </c>
      <c r="D19" s="47" t="s">
        <v>87</v>
      </c>
      <c r="E19" s="1">
        <v>10</v>
      </c>
      <c r="F19" s="151" t="str">
        <f>IF(ISNUMBER(E19),"","Err")</f>
        <v/>
      </c>
      <c r="G19" s="644"/>
      <c r="H19" s="44"/>
      <c r="I19" s="640" t="s">
        <v>543</v>
      </c>
      <c r="J19" s="17"/>
      <c r="K19" s="17"/>
      <c r="L19" s="17"/>
      <c r="M19" s="17"/>
      <c r="N19" s="17"/>
      <c r="O19" s="17"/>
      <c r="P19" s="17"/>
      <c r="Q19" s="122"/>
      <c r="R19" s="632"/>
      <c r="S19" s="44"/>
      <c r="T19" s="43" t="s">
        <v>490</v>
      </c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122"/>
      <c r="AF19" s="123"/>
    </row>
    <row r="20" spans="1:32" ht="15.75" thickBot="1" x14ac:dyDescent="0.3">
      <c r="A20" s="17"/>
      <c r="B20" s="46"/>
      <c r="C20" s="47"/>
      <c r="D20" s="47"/>
      <c r="E20" s="120"/>
      <c r="F20" s="122"/>
      <c r="G20" s="632"/>
      <c r="H20" s="44"/>
      <c r="I20" s="44" t="s">
        <v>302</v>
      </c>
      <c r="J20" s="17"/>
      <c r="K20" s="17"/>
      <c r="L20" s="17"/>
      <c r="M20" s="17"/>
      <c r="N20" s="17"/>
      <c r="O20" s="17"/>
      <c r="P20" s="17"/>
      <c r="Q20" s="122"/>
      <c r="R20" s="632"/>
      <c r="S20" s="44"/>
      <c r="T20" s="43" t="s">
        <v>489</v>
      </c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122"/>
      <c r="AF20" s="123"/>
    </row>
    <row r="21" spans="1:32" ht="15.75" thickBot="1" x14ac:dyDescent="0.3">
      <c r="A21" s="17"/>
      <c r="B21" s="46">
        <v>3</v>
      </c>
      <c r="C21" s="43" t="s">
        <v>85</v>
      </c>
      <c r="D21" s="43" t="s">
        <v>22</v>
      </c>
      <c r="E21" s="3">
        <v>70</v>
      </c>
      <c r="F21" s="151" t="str">
        <f>IF(ISNUMBER(E21),"","Err")</f>
        <v/>
      </c>
      <c r="G21" s="644"/>
      <c r="H21" s="44"/>
      <c r="I21" s="44" t="s">
        <v>544</v>
      </c>
      <c r="J21" s="17"/>
      <c r="K21" s="17"/>
      <c r="L21" s="17"/>
      <c r="M21" s="17"/>
      <c r="N21" s="17"/>
      <c r="O21" s="17"/>
      <c r="P21" s="17"/>
      <c r="Q21" s="122"/>
      <c r="R21" s="632"/>
      <c r="S21" s="44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122"/>
      <c r="AF21" s="123"/>
    </row>
    <row r="22" spans="1:32" ht="15.75" thickBot="1" x14ac:dyDescent="0.3">
      <c r="A22" s="17"/>
      <c r="B22" s="48"/>
      <c r="C22" s="48"/>
      <c r="D22" s="48"/>
      <c r="E22" s="132"/>
      <c r="F22" s="122"/>
      <c r="G22" s="632"/>
      <c r="H22" s="44"/>
      <c r="I22" s="44" t="s">
        <v>304</v>
      </c>
      <c r="J22" s="17"/>
      <c r="K22" s="17"/>
      <c r="L22" s="17"/>
      <c r="M22" s="17"/>
      <c r="N22" s="17"/>
      <c r="O22" s="17"/>
      <c r="P22" s="17"/>
      <c r="Q22" s="122"/>
      <c r="R22" s="632"/>
      <c r="S22" s="44"/>
      <c r="T22" s="53" t="str">
        <f>IF(E33=1,"Z, Ом","U, B")</f>
        <v>Z, Ом</v>
      </c>
      <c r="U22" s="3">
        <v>15</v>
      </c>
      <c r="V22" s="151" t="str">
        <f>IF(ISNUMBER(U22),"","Err")</f>
        <v/>
      </c>
      <c r="W22" s="81" t="s">
        <v>306</v>
      </c>
      <c r="X22" s="82" t="s">
        <v>48</v>
      </c>
      <c r="Y22" s="53" t="s">
        <v>214</v>
      </c>
      <c r="Z22" s="81" t="s">
        <v>307</v>
      </c>
      <c r="AA22" s="82" t="s">
        <v>48</v>
      </c>
      <c r="AB22" s="17"/>
      <c r="AC22" s="17"/>
      <c r="AD22" s="17"/>
      <c r="AE22" s="122"/>
      <c r="AF22" s="123"/>
    </row>
    <row r="23" spans="1:32" ht="15.75" thickBot="1" x14ac:dyDescent="0.3">
      <c r="A23" s="17"/>
      <c r="B23" s="17"/>
      <c r="C23" s="17"/>
      <c r="D23" s="17"/>
      <c r="E23" s="17"/>
      <c r="F23" s="122"/>
      <c r="G23" s="632"/>
      <c r="H23" s="44"/>
      <c r="I23" s="44" t="s">
        <v>303</v>
      </c>
      <c r="J23" s="17"/>
      <c r="K23" s="17"/>
      <c r="L23" s="17"/>
      <c r="M23" s="17"/>
      <c r="N23" s="17"/>
      <c r="O23" s="17"/>
      <c r="P23" s="17"/>
      <c r="Q23" s="122"/>
      <c r="R23" s="632"/>
      <c r="S23" s="44"/>
      <c r="T23" s="53" t="s">
        <v>48</v>
      </c>
      <c r="U23" s="3">
        <v>60</v>
      </c>
      <c r="V23" s="151" t="str">
        <f>IF(ISNUMBER(U23),"","Err")</f>
        <v/>
      </c>
      <c r="W23" s="84">
        <f>U22/IF(E33=1,1,E29)</f>
        <v>15</v>
      </c>
      <c r="X23" s="85">
        <f>U23</f>
        <v>60</v>
      </c>
      <c r="Y23" s="53" t="s">
        <v>214</v>
      </c>
      <c r="Z23" s="84">
        <f>IF(E33=1,U22*E29,U22)</f>
        <v>15</v>
      </c>
      <c r="AA23" s="86">
        <f>IF(E33=1,U23,U23)</f>
        <v>60</v>
      </c>
      <c r="AB23" s="17"/>
      <c r="AC23" s="17"/>
      <c r="AD23" s="17"/>
      <c r="AE23" s="122"/>
      <c r="AF23" s="123"/>
    </row>
    <row r="24" spans="1:32" ht="15.75" x14ac:dyDescent="0.25">
      <c r="A24" s="17"/>
      <c r="B24" s="8" t="s">
        <v>161</v>
      </c>
      <c r="C24" s="5"/>
      <c r="D24" s="5"/>
      <c r="E24" s="5"/>
      <c r="F24" s="122"/>
      <c r="G24" s="632"/>
      <c r="H24" s="44"/>
      <c r="I24" s="640" t="s">
        <v>305</v>
      </c>
      <c r="J24" s="17"/>
      <c r="K24" s="17"/>
      <c r="L24" s="17"/>
      <c r="M24" s="17"/>
      <c r="N24" s="17"/>
      <c r="O24" s="17"/>
      <c r="P24" s="17"/>
      <c r="Q24" s="122"/>
      <c r="R24" s="632"/>
      <c r="S24" s="44"/>
      <c r="T24" s="43"/>
      <c r="U24" s="353"/>
      <c r="V24" s="43"/>
      <c r="W24" s="43"/>
      <c r="X24" s="43"/>
      <c r="Y24" s="53" t="s">
        <v>214</v>
      </c>
      <c r="Z24" s="43"/>
      <c r="AA24" s="43"/>
      <c r="AB24" s="43"/>
      <c r="AC24" s="43"/>
      <c r="AD24" s="43"/>
      <c r="AE24" s="122"/>
      <c r="AF24" s="123"/>
    </row>
    <row r="25" spans="1:32" ht="15.75" thickBot="1" x14ac:dyDescent="0.3">
      <c r="A25" s="17"/>
      <c r="B25" s="43"/>
      <c r="C25" s="43"/>
      <c r="D25" s="43"/>
      <c r="E25" s="53"/>
      <c r="F25" s="122"/>
      <c r="G25" s="632"/>
      <c r="H25" s="44"/>
      <c r="I25" s="640"/>
      <c r="J25" s="17"/>
      <c r="K25" s="17"/>
      <c r="L25" s="17"/>
      <c r="M25" s="17"/>
      <c r="N25" s="17"/>
      <c r="O25" s="17"/>
      <c r="P25" s="17"/>
      <c r="Q25" s="122"/>
      <c r="R25" s="632"/>
      <c r="S25" s="44"/>
      <c r="T25" s="17"/>
      <c r="U25" s="17"/>
      <c r="V25" s="43"/>
      <c r="W25" s="81" t="s">
        <v>46</v>
      </c>
      <c r="X25" s="82" t="s">
        <v>47</v>
      </c>
      <c r="Y25" s="53" t="s">
        <v>214</v>
      </c>
      <c r="Z25" s="81" t="s">
        <v>308</v>
      </c>
      <c r="AA25" s="82" t="s">
        <v>48</v>
      </c>
      <c r="AB25" s="43"/>
      <c r="AC25" s="43"/>
      <c r="AD25" s="43"/>
      <c r="AE25" s="122"/>
      <c r="AF25" s="123"/>
    </row>
    <row r="26" spans="1:32" ht="15.75" thickBot="1" x14ac:dyDescent="0.3">
      <c r="A26" s="17"/>
      <c r="B26" s="50" t="s">
        <v>62</v>
      </c>
      <c r="C26" s="51" t="s">
        <v>63</v>
      </c>
      <c r="D26" s="50" t="s">
        <v>67</v>
      </c>
      <c r="E26" s="50" t="s">
        <v>68</v>
      </c>
      <c r="F26" s="122"/>
      <c r="G26" s="632"/>
      <c r="H26" s="687" t="s">
        <v>320</v>
      </c>
      <c r="I26" s="642" t="s">
        <v>584</v>
      </c>
      <c r="J26" s="17"/>
      <c r="K26" s="17"/>
      <c r="L26" s="17"/>
      <c r="M26" s="17"/>
      <c r="N26" s="17"/>
      <c r="O26" s="17"/>
      <c r="P26" s="17"/>
      <c r="Q26" s="122"/>
      <c r="R26" s="632"/>
      <c r="S26" s="44"/>
      <c r="T26" s="17"/>
      <c r="U26" s="17"/>
      <c r="V26" s="43"/>
      <c r="W26" s="84">
        <f>W23*COS(RADIANS(X23))</f>
        <v>7.5000000000000018</v>
      </c>
      <c r="X26" s="86">
        <f>W23*SIN(RADIANS(X23))</f>
        <v>12.990381056766578</v>
      </c>
      <c r="Y26" s="53" t="s">
        <v>214</v>
      </c>
      <c r="Z26" s="84">
        <f>E29</f>
        <v>1</v>
      </c>
      <c r="AA26" s="86">
        <v>0</v>
      </c>
      <c r="AB26" s="43"/>
      <c r="AC26" s="43"/>
      <c r="AD26" s="43"/>
      <c r="AE26" s="122"/>
      <c r="AF26" s="123"/>
    </row>
    <row r="27" spans="1:32" x14ac:dyDescent="0.25">
      <c r="A27" s="17"/>
      <c r="B27" s="17"/>
      <c r="C27" s="17"/>
      <c r="D27" s="17"/>
      <c r="E27" s="17"/>
      <c r="F27" s="122"/>
      <c r="G27" s="632"/>
      <c r="H27" s="326"/>
      <c r="I27" s="642" t="s">
        <v>585</v>
      </c>
      <c r="J27" s="17"/>
      <c r="K27" s="17"/>
      <c r="L27" s="17"/>
      <c r="M27" s="17"/>
      <c r="N27" s="17"/>
      <c r="O27" s="17"/>
      <c r="P27" s="17"/>
      <c r="Q27" s="122"/>
      <c r="R27" s="632"/>
      <c r="S27" s="44"/>
      <c r="T27" s="17"/>
      <c r="U27" s="17"/>
      <c r="V27" s="17"/>
      <c r="W27" s="17"/>
      <c r="X27" s="17"/>
      <c r="Y27" s="17"/>
      <c r="Z27" s="17"/>
      <c r="AA27" s="17"/>
      <c r="AB27" s="43"/>
      <c r="AC27" s="87"/>
      <c r="AD27" s="43"/>
      <c r="AE27" s="122"/>
      <c r="AF27" s="123"/>
    </row>
    <row r="28" spans="1:32" ht="16.5" thickBot="1" x14ac:dyDescent="0.3">
      <c r="A28" s="17"/>
      <c r="B28" s="46">
        <v>1</v>
      </c>
      <c r="C28" s="43" t="s">
        <v>281</v>
      </c>
      <c r="D28" s="43" t="s">
        <v>282</v>
      </c>
      <c r="E28" s="1">
        <v>1</v>
      </c>
      <c r="F28" s="151" t="str">
        <f>IF(ISNUMBER(E28),IF(OR(E28=1,E28=5),"","Не ном."),"Err")</f>
        <v/>
      </c>
      <c r="G28" s="644"/>
      <c r="H28" s="44"/>
      <c r="I28" s="17"/>
      <c r="J28" s="17"/>
      <c r="K28" s="17"/>
      <c r="L28" s="17"/>
      <c r="M28" s="17"/>
      <c r="N28" s="17"/>
      <c r="O28" s="17"/>
      <c r="P28" s="17"/>
      <c r="Q28" s="122"/>
      <c r="R28" s="632"/>
      <c r="S28" s="44"/>
      <c r="T28" s="742" t="s">
        <v>493</v>
      </c>
      <c r="U28" s="742"/>
      <c r="V28" s="638" t="str">
        <f>IF(Y36,"область срабатывания","")</f>
        <v/>
      </c>
      <c r="W28" s="17"/>
      <c r="X28" s="17"/>
      <c r="Y28" s="17"/>
      <c r="Z28" s="17"/>
      <c r="AA28" s="17"/>
      <c r="AB28" s="43"/>
      <c r="AC28" s="87"/>
      <c r="AD28" s="43"/>
      <c r="AE28" s="122"/>
      <c r="AF28" s="123"/>
    </row>
    <row r="29" spans="1:32" ht="16.5" thickBot="1" x14ac:dyDescent="0.3">
      <c r="A29" s="17"/>
      <c r="B29" s="46">
        <v>2</v>
      </c>
      <c r="C29" s="43" t="s">
        <v>283</v>
      </c>
      <c r="D29" s="43" t="s">
        <v>284</v>
      </c>
      <c r="E29" s="1">
        <v>1</v>
      </c>
      <c r="F29" s="151" t="str">
        <f>IF(ISNUMBER(E29),"","Err")</f>
        <v/>
      </c>
      <c r="G29" s="644"/>
      <c r="H29" s="44"/>
      <c r="I29" s="55" t="s">
        <v>30</v>
      </c>
      <c r="J29" s="55"/>
      <c r="K29" s="56" t="s">
        <v>73</v>
      </c>
      <c r="L29" s="57"/>
      <c r="M29" s="55" t="s">
        <v>31</v>
      </c>
      <c r="N29" s="55" t="s">
        <v>32</v>
      </c>
      <c r="O29" s="56"/>
      <c r="P29" s="648" t="s">
        <v>285</v>
      </c>
      <c r="Q29" s="122"/>
      <c r="R29" s="632"/>
      <c r="S29" s="44"/>
      <c r="T29" s="742"/>
      <c r="U29" s="742"/>
      <c r="V29" s="639" t="str">
        <f>IF(Y36,"","область не срабатывания")</f>
        <v>область не срабатывания</v>
      </c>
      <c r="W29" s="17"/>
      <c r="X29" s="17"/>
      <c r="Y29" s="17"/>
      <c r="Z29" s="17"/>
      <c r="AA29" s="17"/>
      <c r="AB29" s="43"/>
      <c r="AC29" s="87"/>
      <c r="AD29" s="43"/>
      <c r="AE29" s="122"/>
      <c r="AF29" s="123"/>
    </row>
    <row r="30" spans="1:32" x14ac:dyDescent="0.25">
      <c r="A30" s="17"/>
      <c r="B30" s="46"/>
      <c r="C30" s="43"/>
      <c r="D30" s="44"/>
      <c r="E30" s="166"/>
      <c r="F30" s="151"/>
      <c r="G30" s="644"/>
      <c r="H30" s="44"/>
      <c r="I30" s="43"/>
      <c r="J30" s="43"/>
      <c r="K30" s="43"/>
      <c r="L30" s="43"/>
      <c r="M30" s="43"/>
      <c r="N30" s="43"/>
      <c r="O30" s="43"/>
      <c r="P30" s="43"/>
      <c r="Q30" s="122"/>
      <c r="R30" s="632"/>
      <c r="S30" s="44"/>
      <c r="T30" s="17"/>
      <c r="U30" s="17"/>
      <c r="V30" s="17"/>
      <c r="W30" s="17"/>
      <c r="X30" s="17"/>
      <c r="Y30" s="17"/>
      <c r="Z30" s="17"/>
      <c r="AA30" s="17"/>
      <c r="AB30" s="43"/>
      <c r="AC30" s="87"/>
      <c r="AD30" s="43"/>
      <c r="AE30" s="122"/>
      <c r="AF30" s="123"/>
    </row>
    <row r="31" spans="1:32" x14ac:dyDescent="0.25">
      <c r="A31" s="17"/>
      <c r="B31" s="46">
        <v>2</v>
      </c>
      <c r="C31" s="43" t="s">
        <v>280</v>
      </c>
      <c r="D31" s="44" t="s">
        <v>279</v>
      </c>
      <c r="E31" s="201">
        <f>5/E28</f>
        <v>5</v>
      </c>
      <c r="F31" s="151" t="str">
        <f>IF(OR(E31=1,E31=5),"","Err")</f>
        <v/>
      </c>
      <c r="G31" s="644"/>
      <c r="H31" s="44"/>
      <c r="I31" s="288" t="s">
        <v>358</v>
      </c>
      <c r="J31" s="17"/>
      <c r="K31" s="61" t="str">
        <f>IF(E33=1,"Z, Ом","U, B")</f>
        <v>Z, Ом</v>
      </c>
      <c r="L31" s="62" t="s">
        <v>129</v>
      </c>
      <c r="M31" s="17"/>
      <c r="N31" s="17"/>
      <c r="O31" s="17"/>
      <c r="P31" s="176"/>
      <c r="Q31" s="122"/>
      <c r="R31" s="6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389"/>
      <c r="AD31" s="44"/>
      <c r="AE31" s="122"/>
      <c r="AF31" s="123"/>
    </row>
    <row r="32" spans="1:32" ht="15.75" thickBot="1" x14ac:dyDescent="0.3">
      <c r="A32" s="17"/>
      <c r="B32" s="46"/>
      <c r="C32" s="43"/>
      <c r="D32" s="44"/>
      <c r="E32" s="10" t="s">
        <v>590</v>
      </c>
      <c r="F32" s="122"/>
      <c r="G32" s="632"/>
      <c r="H32" s="44"/>
      <c r="I32" s="136"/>
      <c r="J32" s="17"/>
      <c r="K32" s="206"/>
      <c r="L32" s="206"/>
      <c r="M32" s="17"/>
      <c r="N32" s="17"/>
      <c r="O32" s="17"/>
      <c r="P32" s="176"/>
      <c r="Q32" s="122"/>
      <c r="R32" s="644"/>
      <c r="S32" s="44"/>
      <c r="T32" s="359" t="s">
        <v>122</v>
      </c>
      <c r="U32" s="362"/>
      <c r="V32" s="362"/>
      <c r="W32" s="166"/>
      <c r="X32" s="361" t="s">
        <v>290</v>
      </c>
      <c r="Y32" s="363" t="s">
        <v>100</v>
      </c>
      <c r="Z32" s="361" t="s">
        <v>101</v>
      </c>
      <c r="AA32" s="166"/>
      <c r="AB32" s="191" t="s">
        <v>559</v>
      </c>
      <c r="AC32" s="83"/>
      <c r="AD32" s="688"/>
      <c r="AE32" s="122"/>
      <c r="AF32" s="123"/>
    </row>
    <row r="33" spans="1:32" ht="15.75" thickBot="1" x14ac:dyDescent="0.3">
      <c r="A33" s="17"/>
      <c r="B33" s="46">
        <v>3</v>
      </c>
      <c r="C33" s="43" t="s">
        <v>115</v>
      </c>
      <c r="D33" s="43" t="s">
        <v>56</v>
      </c>
      <c r="E33" s="9">
        <v>1</v>
      </c>
      <c r="F33" s="151" t="str">
        <f>IF(OR(E33=1,E33=2),"","Err")</f>
        <v/>
      </c>
      <c r="G33" s="644"/>
      <c r="H33" s="44"/>
      <c r="I33" s="615" t="s">
        <v>295</v>
      </c>
      <c r="J33" s="17"/>
      <c r="K33" s="153">
        <f>ROUNDDOWN(AB57*IF(E33=1,1,E29)+E31*0.1,2)</f>
        <v>25.5</v>
      </c>
      <c r="L33" s="67">
        <f>AB58</f>
        <v>90</v>
      </c>
      <c r="M33" s="184" t="str">
        <f>IF(E33=1,"уменьш. Z до","уменьш. U до")</f>
        <v>уменьш. Z до</v>
      </c>
      <c r="N33" s="75">
        <f>AB57*IF(E33=1,1,E29)</f>
        <v>25</v>
      </c>
      <c r="O33" s="188" t="str">
        <f>IF(E33=1,"Z -&gt; ","U -&gt; ")</f>
        <v xml:space="preserve">Z -&gt; </v>
      </c>
      <c r="P33" s="175">
        <v>0</v>
      </c>
      <c r="Q33" s="151" t="str">
        <f>IF(ISNUMBER(P33),"","Err")</f>
        <v/>
      </c>
      <c r="R33" s="644"/>
      <c r="S33" s="44"/>
      <c r="T33" s="364" t="s">
        <v>86</v>
      </c>
      <c r="U33" s="390">
        <f>E18</f>
        <v>20</v>
      </c>
      <c r="V33" s="390">
        <f>E18+5/E28</f>
        <v>25</v>
      </c>
      <c r="W33" s="166"/>
      <c r="X33" s="370" t="s">
        <v>289</v>
      </c>
      <c r="Y33" s="371">
        <f>W26</f>
        <v>7.5000000000000018</v>
      </c>
      <c r="Z33" s="372">
        <f>X26</f>
        <v>12.990381056766578</v>
      </c>
      <c r="AA33" s="166"/>
      <c r="AB33" s="689" t="s">
        <v>560</v>
      </c>
      <c r="AC33" s="689" t="str">
        <f>CONCATENATE("Уставки БК:",CHAR(10),"   - ",D18," = ",E18," Ом,",CHAR(10),"   - ",D19," = ",E19," Ом,",CHAR(10),"   - ",D21," = ",E21,CHAR(176),",",CHAR(10),"   - ","dZ"," = ",E31," Ом",".")</f>
        <v>Уставки БК:
   - Xуст = 20 Ом,
   - Rуст = 10 Ом,
   - fi_1 = 70°,
   - dZ = 5 Ом.</v>
      </c>
      <c r="AD33" s="688" t="s">
        <v>56</v>
      </c>
      <c r="AE33" s="122"/>
      <c r="AF33" s="123"/>
    </row>
    <row r="34" spans="1:32" ht="15.75" thickBot="1" x14ac:dyDescent="0.3">
      <c r="A34" s="17"/>
      <c r="B34" s="48"/>
      <c r="C34" s="48"/>
      <c r="D34" s="48"/>
      <c r="E34" s="48"/>
      <c r="F34" s="122"/>
      <c r="G34" s="632"/>
      <c r="H34" s="44"/>
      <c r="I34" s="616" t="s">
        <v>296</v>
      </c>
      <c r="J34" s="17"/>
      <c r="K34" s="155">
        <f>ROUNDDOWN(W57*IF(E33=1,1,E29)+E31*0.1,2)</f>
        <v>20.5</v>
      </c>
      <c r="L34" s="69">
        <f>W58</f>
        <v>90</v>
      </c>
      <c r="M34" s="184" t="str">
        <f>IF(E33=1,"уменьш. Z до","уменьш. U до")</f>
        <v>уменьш. Z до</v>
      </c>
      <c r="N34" s="77">
        <f>W57*IF(E33=1,1,E29)</f>
        <v>20</v>
      </c>
      <c r="O34" s="188" t="str">
        <f>IF(E33=1,"Z -&gt; ","U -&gt; ")</f>
        <v xml:space="preserve">Z -&gt; </v>
      </c>
      <c r="P34" s="175">
        <v>0</v>
      </c>
      <c r="Q34" s="151" t="str">
        <f>IF(ISNUMBER(P34),"","Err")</f>
        <v/>
      </c>
      <c r="R34" s="644"/>
      <c r="S34" s="44"/>
      <c r="T34" s="391" t="s">
        <v>268</v>
      </c>
      <c r="U34" s="375">
        <f>E18*(-1)</f>
        <v>-20</v>
      </c>
      <c r="V34" s="375">
        <f>(E18+5/E28)*(-1)</f>
        <v>-25</v>
      </c>
      <c r="W34" s="166"/>
      <c r="X34" s="367" t="s">
        <v>293</v>
      </c>
      <c r="Y34" s="376">
        <f>IF(AND(Y33&lt;(U35+Z33/TAN(RADIANS(U37))),Y33&gt;(U36+Z33/TAN(RADIANS(U37)))),1,0)</f>
        <v>1</v>
      </c>
      <c r="Z34" s="369">
        <f>IF(ABS(Z33)&lt;ABS(U33),1,0)</f>
        <v>1</v>
      </c>
      <c r="AA34" s="166"/>
      <c r="AB34" s="690" t="s">
        <v>561</v>
      </c>
      <c r="AC34" s="690" t="str">
        <f>CONCATENATE("Характеристика БК dZ/dt.",CHAR(10),CHAR(10),AC33)</f>
        <v>Характеристика БК dZ/dt.
Уставки БК:
   - Xуст = 20 Ом,
   - Rуст = 10 Ом,
   - fi_1 = 70°,
   - dZ = 5 Ом.</v>
      </c>
      <c r="AD34" s="688" t="s">
        <v>56</v>
      </c>
      <c r="AE34" s="122"/>
      <c r="AF34" s="123"/>
    </row>
    <row r="35" spans="1:32" x14ac:dyDescent="0.25">
      <c r="A35" s="17"/>
      <c r="B35" s="43"/>
      <c r="C35" s="43"/>
      <c r="D35" s="43"/>
      <c r="E35" s="43"/>
      <c r="F35" s="122"/>
      <c r="G35" s="632"/>
      <c r="H35" s="44"/>
      <c r="I35" s="601"/>
      <c r="J35" s="17"/>
      <c r="K35" s="71"/>
      <c r="L35" s="71"/>
      <c r="M35" s="79"/>
      <c r="N35" s="118"/>
      <c r="O35" s="207"/>
      <c r="P35" s="201"/>
      <c r="Q35" s="151"/>
      <c r="R35" s="644"/>
      <c r="S35" s="44"/>
      <c r="T35" s="367" t="s">
        <v>87</v>
      </c>
      <c r="U35" s="375">
        <f>E19</f>
        <v>10</v>
      </c>
      <c r="V35" s="375">
        <f>E19+5/E28</f>
        <v>15</v>
      </c>
      <c r="W35" s="166"/>
      <c r="X35" s="377" t="s">
        <v>294</v>
      </c>
      <c r="Y35" s="376">
        <f>IF(AND(Y33&lt;=(V35+Z33/TAN(RADIANS(V37))),Y33&gt;=(V36+Z33/TAN(RADIANS(V37)))),1,0)</f>
        <v>1</v>
      </c>
      <c r="Z35" s="369">
        <f>IF(ABS(Z33)&lt;=ABS(V33),1,0)</f>
        <v>1</v>
      </c>
      <c r="AA35" s="166"/>
      <c r="AB35" s="166"/>
      <c r="AC35" s="166"/>
      <c r="AD35" s="44"/>
      <c r="AE35" s="122"/>
      <c r="AF35" s="123"/>
    </row>
    <row r="36" spans="1:32" x14ac:dyDescent="0.25">
      <c r="A36" s="17"/>
      <c r="B36" s="43"/>
      <c r="C36" s="43"/>
      <c r="D36" s="54"/>
      <c r="E36" s="54"/>
      <c r="F36" s="122"/>
      <c r="G36" s="632"/>
      <c r="H36" s="44"/>
      <c r="I36" s="288" t="s">
        <v>357</v>
      </c>
      <c r="J36" s="17"/>
      <c r="K36" s="71"/>
      <c r="L36" s="71"/>
      <c r="M36" s="79"/>
      <c r="N36" s="118"/>
      <c r="O36" s="207"/>
      <c r="P36" s="201"/>
      <c r="Q36" s="151"/>
      <c r="R36" s="644"/>
      <c r="S36" s="44"/>
      <c r="T36" s="391" t="s">
        <v>271</v>
      </c>
      <c r="U36" s="375">
        <f>(-1)*E19</f>
        <v>-10</v>
      </c>
      <c r="V36" s="375">
        <f>(-1)*(E19+5/E28)</f>
        <v>-15</v>
      </c>
      <c r="W36" s="166"/>
      <c r="X36" s="377" t="s">
        <v>291</v>
      </c>
      <c r="Y36" s="376">
        <f>IF(AND(AND(Y35,Z35),NOT(AND(Y34,Z34))),1,0)</f>
        <v>0</v>
      </c>
      <c r="Z36" s="369"/>
      <c r="AA36" s="166"/>
      <c r="AB36" s="166"/>
      <c r="AC36" s="166"/>
      <c r="AD36" s="44"/>
      <c r="AE36" s="122"/>
      <c r="AF36" s="123"/>
    </row>
    <row r="37" spans="1:32" x14ac:dyDescent="0.25">
      <c r="A37" s="17"/>
      <c r="B37" s="43"/>
      <c r="C37" s="43"/>
      <c r="D37" s="54"/>
      <c r="E37" s="43"/>
      <c r="F37" s="122"/>
      <c r="G37" s="632"/>
      <c r="H37" s="17"/>
      <c r="I37" s="18"/>
      <c r="J37" s="17"/>
      <c r="K37" s="166"/>
      <c r="L37" s="166"/>
      <c r="M37" s="166"/>
      <c r="N37" s="166"/>
      <c r="O37" s="166"/>
      <c r="P37" s="166"/>
      <c r="Q37" s="151"/>
      <c r="R37" s="644"/>
      <c r="S37" s="44"/>
      <c r="T37" s="377" t="s">
        <v>59</v>
      </c>
      <c r="U37" s="380">
        <f>E21</f>
        <v>70</v>
      </c>
      <c r="V37" s="380">
        <f>E21</f>
        <v>70</v>
      </c>
      <c r="W37" s="166"/>
      <c r="X37" s="377"/>
      <c r="Y37" s="381"/>
      <c r="Z37" s="382"/>
      <c r="AA37" s="166"/>
      <c r="AB37" s="166"/>
      <c r="AC37" s="166"/>
      <c r="AD37" s="44"/>
      <c r="AE37" s="122"/>
      <c r="AF37" s="123"/>
    </row>
    <row r="38" spans="1:32" x14ac:dyDescent="0.25">
      <c r="A38" s="17"/>
      <c r="B38" s="43"/>
      <c r="C38" s="43"/>
      <c r="D38" s="54"/>
      <c r="E38" s="43"/>
      <c r="F38" s="122"/>
      <c r="G38" s="632"/>
      <c r="H38" s="44"/>
      <c r="I38" s="615" t="s">
        <v>297</v>
      </c>
      <c r="J38" s="17"/>
      <c r="K38" s="153">
        <f>ROUNDDOWN(Z57*IF(E33=1,1,E29)+E31*0.1,2)</f>
        <v>15.5</v>
      </c>
      <c r="L38" s="67">
        <f>Z58</f>
        <v>0</v>
      </c>
      <c r="M38" s="185" t="str">
        <f>IF(E33=1,"уменьш. Z до","уменьш. U до")</f>
        <v>уменьш. Z до</v>
      </c>
      <c r="N38" s="75">
        <f>Z57*IF(E33=1,1,E29)</f>
        <v>15</v>
      </c>
      <c r="O38" s="188" t="str">
        <f>IF(E33=1,"Z -&gt; ","U -&gt; ")</f>
        <v xml:space="preserve">Z -&gt; </v>
      </c>
      <c r="P38" s="175">
        <v>0</v>
      </c>
      <c r="Q38" s="151" t="str">
        <f>IF(ISNUMBER(P38),"","Err")</f>
        <v/>
      </c>
      <c r="R38" s="644"/>
      <c r="S38" s="44"/>
      <c r="T38" s="166"/>
      <c r="U38" s="166"/>
      <c r="V38" s="166"/>
      <c r="W38" s="166"/>
      <c r="X38" s="166"/>
      <c r="Y38" s="166"/>
      <c r="Z38" s="166"/>
      <c r="AA38" s="166"/>
      <c r="AB38" s="166"/>
      <c r="AC38" s="166"/>
      <c r="AD38" s="44"/>
      <c r="AE38" s="122"/>
      <c r="AF38" s="123"/>
    </row>
    <row r="39" spans="1:32" x14ac:dyDescent="0.25">
      <c r="A39" s="17"/>
      <c r="B39" s="43"/>
      <c r="C39" s="43"/>
      <c r="D39" s="43"/>
      <c r="E39" s="43"/>
      <c r="F39" s="122"/>
      <c r="G39" s="632"/>
      <c r="H39" s="44"/>
      <c r="I39" s="616" t="s">
        <v>298</v>
      </c>
      <c r="J39" s="17"/>
      <c r="K39" s="155">
        <f>ROUNDDOWN(U57*IF(E33=1,1,E29)+E31*0.1,2)</f>
        <v>10.5</v>
      </c>
      <c r="L39" s="69">
        <f>U58</f>
        <v>0</v>
      </c>
      <c r="M39" s="185" t="str">
        <f>IF(E33=1,"уменьш. Z до","уменьш. U до")</f>
        <v>уменьш. Z до</v>
      </c>
      <c r="N39" s="77">
        <f>U57*IF(E33=1,1,E29)</f>
        <v>10</v>
      </c>
      <c r="O39" s="188" t="str">
        <f>IF(E33=1,"Z -&gt; ","U -&gt; ")</f>
        <v xml:space="preserve">Z -&gt; </v>
      </c>
      <c r="P39" s="175">
        <v>0</v>
      </c>
      <c r="Q39" s="151" t="str">
        <f>IF(ISNUMBER(P39),"","Err")</f>
        <v/>
      </c>
      <c r="R39" s="644"/>
      <c r="S39" s="44"/>
      <c r="T39" s="44" t="s">
        <v>272</v>
      </c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122"/>
      <c r="AF39" s="123"/>
    </row>
    <row r="40" spans="1:32" x14ac:dyDescent="0.25">
      <c r="A40" s="17"/>
      <c r="B40" s="17"/>
      <c r="C40" s="17"/>
      <c r="D40" s="17"/>
      <c r="E40" s="17"/>
      <c r="F40" s="122"/>
      <c r="G40" s="632"/>
      <c r="H40" s="17"/>
      <c r="I40" s="18"/>
      <c r="J40" s="17"/>
      <c r="K40" s="166"/>
      <c r="L40" s="166"/>
      <c r="M40" s="166"/>
      <c r="N40" s="166"/>
      <c r="O40" s="166"/>
      <c r="P40" s="166"/>
      <c r="Q40" s="151"/>
      <c r="R40" s="644"/>
      <c r="S40" s="44"/>
      <c r="T40" s="166"/>
      <c r="U40" s="358" t="s">
        <v>37</v>
      </c>
      <c r="V40" s="358" t="s">
        <v>38</v>
      </c>
      <c r="W40" s="358" t="s">
        <v>269</v>
      </c>
      <c r="X40" s="358" t="s">
        <v>39</v>
      </c>
      <c r="Y40" s="358" t="s">
        <v>40</v>
      </c>
      <c r="Z40" s="358" t="s">
        <v>270</v>
      </c>
      <c r="AA40" s="358" t="s">
        <v>41</v>
      </c>
      <c r="AB40" s="174"/>
      <c r="AC40" s="166"/>
      <c r="AD40" s="44"/>
      <c r="AE40" s="122"/>
      <c r="AF40" s="123"/>
    </row>
    <row r="41" spans="1:32" x14ac:dyDescent="0.25">
      <c r="A41" s="17"/>
      <c r="B41" s="17"/>
      <c r="C41" s="17"/>
      <c r="D41" s="17"/>
      <c r="E41" s="17"/>
      <c r="F41" s="122"/>
      <c r="G41" s="632"/>
      <c r="H41" s="44"/>
      <c r="I41" s="615" t="s">
        <v>299</v>
      </c>
      <c r="J41" s="64"/>
      <c r="K41" s="153">
        <f>IF(E33=1,AA57,AA57*(E29))</f>
        <v>23.699999999999992</v>
      </c>
      <c r="L41" s="67">
        <f>ROUNDDOWN(AA58,0)-5</f>
        <v>28</v>
      </c>
      <c r="M41" s="186" t="s">
        <v>76</v>
      </c>
      <c r="N41" s="75">
        <f>AA58</f>
        <v>33.505746186683226</v>
      </c>
      <c r="O41" s="188" t="s">
        <v>292</v>
      </c>
      <c r="P41" s="175">
        <v>0</v>
      </c>
      <c r="Q41" s="151" t="str">
        <f>IF(ISNUMBER(P41),"","Err")</f>
        <v/>
      </c>
      <c r="R41" s="644"/>
      <c r="S41" s="44"/>
      <c r="T41" s="44" t="s">
        <v>21</v>
      </c>
      <c r="U41" s="383">
        <f>U35+U34/TAN(RADIANS(U37))</f>
        <v>2.7205953146759514</v>
      </c>
      <c r="V41" s="383">
        <f>(U33+U35*TAN(RADIANS(U37)))/TAN(RADIANS(U37))</f>
        <v>17.279404685324049</v>
      </c>
      <c r="W41" s="383">
        <f>U33/TAN(RADIANS(U37))</f>
        <v>7.2794046853240486</v>
      </c>
      <c r="X41" s="383">
        <f>W41-U35</f>
        <v>-2.7205953146759514</v>
      </c>
      <c r="Y41" s="383">
        <f>(-1)*U35+(U34/TAN(RADIANS(U37)))</f>
        <v>-17.279404685324049</v>
      </c>
      <c r="Z41" s="383">
        <f>U34/TAN(RADIANS(U37))</f>
        <v>-7.2794046853240486</v>
      </c>
      <c r="AA41" s="383">
        <f>U41</f>
        <v>2.7205953146759514</v>
      </c>
      <c r="AB41" s="174"/>
      <c r="AC41" s="166"/>
      <c r="AD41" s="44"/>
      <c r="AE41" s="122"/>
      <c r="AF41" s="123"/>
    </row>
    <row r="42" spans="1:32" x14ac:dyDescent="0.25">
      <c r="A42" s="17"/>
      <c r="B42" s="17"/>
      <c r="C42" s="17"/>
      <c r="D42" s="17"/>
      <c r="E42" s="17"/>
      <c r="F42" s="122"/>
      <c r="G42" s="632"/>
      <c r="H42" s="44"/>
      <c r="I42" s="616" t="s">
        <v>300</v>
      </c>
      <c r="J42" s="17"/>
      <c r="K42" s="155">
        <f>IF(E33=1,V57,V57*(E29))</f>
        <v>23.7</v>
      </c>
      <c r="L42" s="69">
        <f>ROUNDUP((V58+AA58)/2,0)</f>
        <v>41</v>
      </c>
      <c r="M42" s="186" t="s">
        <v>76</v>
      </c>
      <c r="N42" s="77">
        <f>V58</f>
        <v>46.64076788475721</v>
      </c>
      <c r="O42" s="188" t="s">
        <v>292</v>
      </c>
      <c r="P42" s="175">
        <v>0</v>
      </c>
      <c r="Q42" s="151" t="str">
        <f>IF(ISNUMBER(P42),"","Err")</f>
        <v/>
      </c>
      <c r="R42" s="644"/>
      <c r="S42" s="44"/>
      <c r="T42" s="44" t="s">
        <v>45</v>
      </c>
      <c r="U42" s="383">
        <f>U34</f>
        <v>-20</v>
      </c>
      <c r="V42" s="383">
        <f>TAN(RADIANS(U37))*(V41-U35)</f>
        <v>20</v>
      </c>
      <c r="W42" s="383">
        <f>U33</f>
        <v>20</v>
      </c>
      <c r="X42" s="383">
        <f>U33</f>
        <v>20</v>
      </c>
      <c r="Y42" s="383">
        <f>U34</f>
        <v>-20</v>
      </c>
      <c r="Z42" s="383">
        <f>U34</f>
        <v>-20</v>
      </c>
      <c r="AA42" s="383">
        <f>U42</f>
        <v>-20</v>
      </c>
      <c r="AB42" s="174"/>
      <c r="AC42" s="166"/>
      <c r="AD42" s="44"/>
      <c r="AE42" s="122"/>
      <c r="AF42" s="123"/>
    </row>
    <row r="43" spans="1:32" x14ac:dyDescent="0.25">
      <c r="A43" s="17"/>
      <c r="B43" s="17"/>
      <c r="C43" s="17"/>
      <c r="D43" s="17"/>
      <c r="E43" s="17"/>
      <c r="F43" s="122"/>
      <c r="G43" s="632"/>
      <c r="H43" s="17"/>
      <c r="I43" s="17"/>
      <c r="J43" s="17"/>
      <c r="K43" s="166"/>
      <c r="L43" s="166"/>
      <c r="M43" s="166"/>
      <c r="N43" s="166"/>
      <c r="O43" s="166"/>
      <c r="P43" s="166"/>
      <c r="Q43" s="151"/>
      <c r="R43" s="644"/>
      <c r="S43" s="44"/>
      <c r="T43" s="392" t="s">
        <v>120</v>
      </c>
      <c r="U43" s="383">
        <f t="shared" ref="U43:AA43" si="0">SQRT(POWER(U41,2)+POWER(U42,2))</f>
        <v>20.184192796994303</v>
      </c>
      <c r="V43" s="383">
        <f t="shared" si="0"/>
        <v>26.430622888596453</v>
      </c>
      <c r="W43" s="383">
        <f t="shared" si="0"/>
        <v>21.283555449518243</v>
      </c>
      <c r="X43" s="383">
        <f t="shared" si="0"/>
        <v>20.184192796994303</v>
      </c>
      <c r="Y43" s="383">
        <f t="shared" si="0"/>
        <v>26.430622888596453</v>
      </c>
      <c r="Z43" s="383">
        <f t="shared" si="0"/>
        <v>21.283555449518243</v>
      </c>
      <c r="AA43" s="383">
        <f t="shared" si="0"/>
        <v>20.184192796994303</v>
      </c>
      <c r="AB43" s="174"/>
      <c r="AC43" s="166"/>
      <c r="AD43" s="44"/>
      <c r="AE43" s="122"/>
      <c r="AF43" s="123"/>
    </row>
    <row r="44" spans="1:32" x14ac:dyDescent="0.25">
      <c r="A44" s="17"/>
      <c r="B44" s="17"/>
      <c r="C44" s="17"/>
      <c r="D44" s="17"/>
      <c r="E44" s="17"/>
      <c r="F44" s="122"/>
      <c r="G44" s="632"/>
      <c r="H44" s="17"/>
      <c r="I44" s="17"/>
      <c r="J44" s="17"/>
      <c r="K44" s="166"/>
      <c r="L44" s="166"/>
      <c r="M44" s="166"/>
      <c r="N44" s="166"/>
      <c r="O44" s="166"/>
      <c r="P44" s="166"/>
      <c r="Q44" s="151"/>
      <c r="R44" s="644"/>
      <c r="S44" s="44"/>
      <c r="T44" s="392" t="s">
        <v>121</v>
      </c>
      <c r="U44" s="393">
        <f t="shared" ref="U44:AA44" si="1">IF(U41=0,90,DEGREES(ATAN(U42/U41)))</f>
        <v>-82.253614980489587</v>
      </c>
      <c r="V44" s="393">
        <f t="shared" si="1"/>
        <v>49.173960989071297</v>
      </c>
      <c r="W44" s="393">
        <f t="shared" si="1"/>
        <v>70</v>
      </c>
      <c r="X44" s="393">
        <f t="shared" si="1"/>
        <v>-82.253614980489587</v>
      </c>
      <c r="Y44" s="393">
        <f t="shared" si="1"/>
        <v>49.173960989071297</v>
      </c>
      <c r="Z44" s="393">
        <f t="shared" si="1"/>
        <v>70</v>
      </c>
      <c r="AA44" s="393">
        <f t="shared" si="1"/>
        <v>-82.253614980489587</v>
      </c>
      <c r="AB44" s="174"/>
      <c r="AC44" s="166"/>
      <c r="AD44" s="44"/>
      <c r="AE44" s="122"/>
      <c r="AF44" s="123"/>
    </row>
    <row r="45" spans="1:32" ht="15.75" x14ac:dyDescent="0.25">
      <c r="A45" s="17"/>
      <c r="B45" s="17"/>
      <c r="C45" s="17"/>
      <c r="D45" s="17"/>
      <c r="E45" s="17"/>
      <c r="F45" s="122"/>
      <c r="G45" s="632"/>
      <c r="H45" s="44"/>
      <c r="I45" s="8" t="s">
        <v>514</v>
      </c>
      <c r="J45" s="4"/>
      <c r="K45" s="4"/>
      <c r="L45" s="4"/>
      <c r="M45" s="4"/>
      <c r="N45" s="4"/>
      <c r="O45" s="4"/>
      <c r="P45" s="4"/>
      <c r="Q45" s="151"/>
      <c r="R45" s="632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122"/>
      <c r="AF45" s="123"/>
    </row>
    <row r="46" spans="1:32" ht="18" x14ac:dyDescent="0.25">
      <c r="A46" s="17"/>
      <c r="B46" s="17"/>
      <c r="C46" s="17"/>
      <c r="D46" s="17"/>
      <c r="E46" s="17"/>
      <c r="F46" s="122"/>
      <c r="G46" s="632"/>
      <c r="H46" s="44"/>
      <c r="I46" s="111"/>
      <c r="J46" s="112"/>
      <c r="K46" s="112"/>
      <c r="L46" s="112"/>
      <c r="M46" s="112"/>
      <c r="N46" s="112"/>
      <c r="O46" s="112"/>
      <c r="P46" s="112"/>
      <c r="Q46" s="151"/>
      <c r="R46" s="632"/>
      <c r="S46" s="44"/>
      <c r="T46" s="44" t="s">
        <v>273</v>
      </c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122"/>
      <c r="AF46" s="123"/>
    </row>
    <row r="47" spans="1:32" x14ac:dyDescent="0.25">
      <c r="A47" s="17"/>
      <c r="B47" s="17"/>
      <c r="C47" s="17"/>
      <c r="D47" s="17"/>
      <c r="E47" s="17"/>
      <c r="F47" s="122"/>
      <c r="G47" s="632"/>
      <c r="H47" s="17"/>
      <c r="I47" s="114"/>
      <c r="J47" s="115"/>
      <c r="K47" s="115"/>
      <c r="L47" s="115"/>
      <c r="M47" s="17"/>
      <c r="N47" s="142"/>
      <c r="O47" s="142"/>
      <c r="P47" s="17"/>
      <c r="Q47" s="122"/>
      <c r="R47" s="632"/>
      <c r="S47" s="44"/>
      <c r="T47" s="44"/>
      <c r="U47" s="358" t="s">
        <v>37</v>
      </c>
      <c r="V47" s="358" t="s">
        <v>38</v>
      </c>
      <c r="W47" s="358" t="s">
        <v>269</v>
      </c>
      <c r="X47" s="358" t="s">
        <v>39</v>
      </c>
      <c r="Y47" s="358" t="s">
        <v>40</v>
      </c>
      <c r="Z47" s="358" t="s">
        <v>270</v>
      </c>
      <c r="AA47" s="358" t="s">
        <v>41</v>
      </c>
      <c r="AB47" s="358"/>
      <c r="AC47" s="358"/>
      <c r="AD47" s="44"/>
      <c r="AE47" s="122"/>
      <c r="AF47" s="123"/>
    </row>
    <row r="48" spans="1:32" x14ac:dyDescent="0.25">
      <c r="A48" s="17"/>
      <c r="B48" s="17"/>
      <c r="C48" s="17"/>
      <c r="D48" s="17"/>
      <c r="E48" s="17"/>
      <c r="F48" s="122"/>
      <c r="G48" s="632"/>
      <c r="H48" s="17"/>
      <c r="I48" s="738" t="s">
        <v>153</v>
      </c>
      <c r="J48" s="114"/>
      <c r="K48" s="124" t="str">
        <f>IF(OR(ABS(K54) &gt; 5,ABS(K56) &gt; 5,ABS(K58) &gt; 5),"","Норма")</f>
        <v>Норма</v>
      </c>
      <c r="L48" s="124" t="str">
        <f>IF(OR(ABS(L54) &gt; 5,ABS(L56) &gt; 5,ABS(L58) &gt; 5),"","Норма")</f>
        <v>Норма</v>
      </c>
      <c r="M48" s="128" t="str">
        <f>IF(OR(ABS(M54) &gt; 5,ABS(M56) &gt; 5,ABS(M58) &gt; 5),"","Норма")</f>
        <v>Норма</v>
      </c>
      <c r="N48" s="331" t="s">
        <v>154</v>
      </c>
      <c r="O48" s="142"/>
      <c r="P48" s="17"/>
      <c r="Q48" s="122"/>
      <c r="R48" s="644"/>
      <c r="S48" s="44"/>
      <c r="T48" s="44" t="s">
        <v>21</v>
      </c>
      <c r="U48" s="383">
        <f>V35+V34/TAN(RADIANS(V37))</f>
        <v>5.900744143344939</v>
      </c>
      <c r="V48" s="383">
        <f>(V33+V35*TAN(RADIANS(V37)))/TAN(RADIANS(V37))</f>
        <v>24.099255856655063</v>
      </c>
      <c r="W48" s="383">
        <f>V33/TAN(RADIANS(V37))</f>
        <v>9.099255856655061</v>
      </c>
      <c r="X48" s="383">
        <f>W48-V35</f>
        <v>-5.900744143344939</v>
      </c>
      <c r="Y48" s="383">
        <f>(-1)*V35+(V34/TAN(RADIANS(V37)))</f>
        <v>-24.099255856655063</v>
      </c>
      <c r="Z48" s="383">
        <f>V34/TAN(RADIANS(V37))</f>
        <v>-9.099255856655061</v>
      </c>
      <c r="AA48" s="383">
        <f>U48</f>
        <v>5.900744143344939</v>
      </c>
      <c r="AB48" s="44"/>
      <c r="AC48" s="44"/>
      <c r="AD48" s="44"/>
      <c r="AE48" s="122"/>
      <c r="AF48" s="123"/>
    </row>
    <row r="49" spans="1:32" ht="15.75" customHeight="1" x14ac:dyDescent="0.25">
      <c r="A49" s="17"/>
      <c r="B49" s="17"/>
      <c r="C49" s="17"/>
      <c r="D49" s="17"/>
      <c r="E49" s="17"/>
      <c r="F49" s="122"/>
      <c r="G49" s="632"/>
      <c r="H49" s="17"/>
      <c r="I49" s="738"/>
      <c r="J49" s="125"/>
      <c r="K49" s="139" t="str">
        <f>IF(K48="Норма","","Погрешность")</f>
        <v/>
      </c>
      <c r="L49" s="140" t="str">
        <f>IF(L48="Норма","","Погрешность")</f>
        <v/>
      </c>
      <c r="M49" s="138" t="str">
        <f>IF(M48="Норма","","Погрешность")</f>
        <v/>
      </c>
      <c r="N49" s="331" t="s">
        <v>155</v>
      </c>
      <c r="O49" s="142"/>
      <c r="P49" s="17"/>
      <c r="Q49" s="122"/>
      <c r="R49" s="644"/>
      <c r="S49" s="44"/>
      <c r="T49" s="44" t="s">
        <v>45</v>
      </c>
      <c r="U49" s="383">
        <f>V34</f>
        <v>-25</v>
      </c>
      <c r="V49" s="383">
        <f>TAN(RADIANS(V37))*(V48-V35)</f>
        <v>25.000000000000004</v>
      </c>
      <c r="W49" s="383">
        <f>V33</f>
        <v>25</v>
      </c>
      <c r="X49" s="383">
        <f>V33</f>
        <v>25</v>
      </c>
      <c r="Y49" s="383">
        <f>V34</f>
        <v>-25</v>
      </c>
      <c r="Z49" s="383">
        <f>V34</f>
        <v>-25</v>
      </c>
      <c r="AA49" s="383">
        <f>U49</f>
        <v>-25</v>
      </c>
      <c r="AB49" s="44"/>
      <c r="AC49" s="44"/>
      <c r="AD49" s="44"/>
      <c r="AE49" s="122"/>
      <c r="AF49" s="123"/>
    </row>
    <row r="50" spans="1:32" ht="15.75" thickBot="1" x14ac:dyDescent="0.3">
      <c r="A50" s="17"/>
      <c r="B50" s="17"/>
      <c r="C50" s="17"/>
      <c r="D50" s="17"/>
      <c r="E50" s="17"/>
      <c r="F50" s="122"/>
      <c r="G50" s="632"/>
      <c r="H50" s="44"/>
      <c r="I50" s="17"/>
      <c r="J50" s="17"/>
      <c r="K50" s="17"/>
      <c r="L50" s="43"/>
      <c r="M50" s="43"/>
      <c r="N50" s="331" t="s">
        <v>156</v>
      </c>
      <c r="O50" s="143"/>
      <c r="P50" s="116"/>
      <c r="Q50" s="151"/>
      <c r="R50" s="632"/>
      <c r="S50" s="44"/>
      <c r="T50" s="392" t="s">
        <v>120</v>
      </c>
      <c r="U50" s="383">
        <f t="shared" ref="U50:AA50" si="2">SQRT(POWER(U48,2)+POWER(U49,2))</f>
        <v>25.686937953855452</v>
      </c>
      <c r="V50" s="383">
        <f t="shared" si="2"/>
        <v>34.724258564359928</v>
      </c>
      <c r="W50" s="383">
        <f t="shared" si="2"/>
        <v>26.604444311897804</v>
      </c>
      <c r="X50" s="383">
        <f t="shared" si="2"/>
        <v>25.686937953855452</v>
      </c>
      <c r="Y50" s="383">
        <f t="shared" si="2"/>
        <v>34.724258564359921</v>
      </c>
      <c r="Z50" s="383">
        <f t="shared" si="2"/>
        <v>26.604444311897804</v>
      </c>
      <c r="AA50" s="383">
        <f t="shared" si="2"/>
        <v>25.686937953855452</v>
      </c>
      <c r="AB50" s="358"/>
      <c r="AC50" s="358"/>
      <c r="AD50" s="44"/>
      <c r="AE50" s="122"/>
      <c r="AF50" s="123"/>
    </row>
    <row r="51" spans="1:32" ht="15.75" customHeight="1" x14ac:dyDescent="0.25">
      <c r="A51" s="17"/>
      <c r="B51" s="17"/>
      <c r="C51" s="17"/>
      <c r="D51" s="17"/>
      <c r="E51" s="17"/>
      <c r="F51" s="122"/>
      <c r="G51" s="632"/>
      <c r="H51" s="44"/>
      <c r="I51" s="721" t="s">
        <v>0</v>
      </c>
      <c r="J51" s="739"/>
      <c r="K51" s="759" t="s">
        <v>124</v>
      </c>
      <c r="L51" s="759"/>
      <c r="M51" s="760"/>
      <c r="N51" s="177"/>
      <c r="O51" s="17"/>
      <c r="P51" s="17"/>
      <c r="Q51" s="151"/>
      <c r="R51" s="632"/>
      <c r="S51" s="44"/>
      <c r="T51" s="392" t="s">
        <v>121</v>
      </c>
      <c r="U51" s="393">
        <f t="shared" ref="U51:AA51" si="3">IF(U48=0,90,DEGREES(ATAN(U49/U48)))</f>
        <v>-76.719548232974262</v>
      </c>
      <c r="V51" s="393">
        <f t="shared" si="3"/>
        <v>46.050994529457867</v>
      </c>
      <c r="W51" s="393">
        <f t="shared" si="3"/>
        <v>70</v>
      </c>
      <c r="X51" s="393">
        <f t="shared" si="3"/>
        <v>-76.719548232974262</v>
      </c>
      <c r="Y51" s="393">
        <f t="shared" si="3"/>
        <v>46.050994529457867</v>
      </c>
      <c r="Z51" s="393">
        <f t="shared" si="3"/>
        <v>70</v>
      </c>
      <c r="AA51" s="393">
        <f t="shared" si="3"/>
        <v>-76.719548232974262</v>
      </c>
      <c r="AB51" s="166"/>
      <c r="AC51" s="166"/>
      <c r="AD51" s="44"/>
      <c r="AE51" s="122"/>
      <c r="AF51" s="123"/>
    </row>
    <row r="52" spans="1:32" ht="15.75" thickBot="1" x14ac:dyDescent="0.3">
      <c r="A52" s="17"/>
      <c r="B52" s="17"/>
      <c r="C52" s="17"/>
      <c r="D52" s="17"/>
      <c r="E52" s="17"/>
      <c r="F52" s="122"/>
      <c r="G52" s="632"/>
      <c r="H52" s="44"/>
      <c r="I52" s="740"/>
      <c r="J52" s="741"/>
      <c r="K52" s="338" t="s">
        <v>276</v>
      </c>
      <c r="L52" s="338" t="s">
        <v>277</v>
      </c>
      <c r="M52" s="339" t="s">
        <v>278</v>
      </c>
      <c r="N52" s="177"/>
      <c r="O52" s="17"/>
      <c r="P52" s="17"/>
      <c r="Q52" s="122"/>
      <c r="R52" s="632"/>
      <c r="S52" s="44"/>
      <c r="T52" s="166"/>
      <c r="U52" s="166"/>
      <c r="V52" s="166"/>
      <c r="W52" s="166"/>
      <c r="X52" s="166"/>
      <c r="Y52" s="166"/>
      <c r="Z52" s="166"/>
      <c r="AA52" s="166"/>
      <c r="AB52" s="166"/>
      <c r="AC52" s="166"/>
      <c r="AD52" s="44"/>
      <c r="AE52" s="122"/>
      <c r="AF52" s="123"/>
    </row>
    <row r="53" spans="1:32" x14ac:dyDescent="0.25">
      <c r="A53" s="17"/>
      <c r="B53" s="17"/>
      <c r="C53" s="17"/>
      <c r="D53" s="17"/>
      <c r="E53" s="17"/>
      <c r="F53" s="122"/>
      <c r="G53" s="632"/>
      <c r="H53" s="44"/>
      <c r="I53" s="730" t="s">
        <v>47</v>
      </c>
      <c r="J53" s="731"/>
      <c r="K53" s="340">
        <f>ABS(IF(OR(P34="",P34=0),N34,P34)*SIN(RADIANS(L34))/IF(E33=2,E29,1))</f>
        <v>20</v>
      </c>
      <c r="L53" s="340">
        <f>ABS(IF(OR(P33="",P33=0),N33,P33)*SIN(RADIANS(L33))/IF(E33=2,E29,1))</f>
        <v>25</v>
      </c>
      <c r="M53" s="341">
        <f>L53-K53</f>
        <v>5</v>
      </c>
      <c r="N53" s="64"/>
      <c r="O53" s="145"/>
      <c r="P53" s="17"/>
      <c r="Q53" s="122"/>
      <c r="R53" s="632"/>
      <c r="S53" s="44"/>
      <c r="T53" s="44" t="s">
        <v>274</v>
      </c>
      <c r="U53" s="44"/>
      <c r="V53" s="44"/>
      <c r="W53" s="44"/>
      <c r="X53" s="388"/>
      <c r="Y53" s="44" t="s">
        <v>275</v>
      </c>
      <c r="Z53" s="166"/>
      <c r="AA53" s="166"/>
      <c r="AB53" s="166"/>
      <c r="AC53" s="44"/>
      <c r="AD53" s="44"/>
      <c r="AE53" s="122"/>
      <c r="AF53" s="123"/>
    </row>
    <row r="54" spans="1:32" x14ac:dyDescent="0.25">
      <c r="A54" s="17"/>
      <c r="B54" s="17"/>
      <c r="C54" s="17"/>
      <c r="D54" s="17"/>
      <c r="E54" s="17"/>
      <c r="F54" s="122"/>
      <c r="G54" s="632"/>
      <c r="H54" s="44"/>
      <c r="I54" s="732" t="s">
        <v>54</v>
      </c>
      <c r="J54" s="733"/>
      <c r="K54" s="584">
        <f>(K53-E18)*100/E18</f>
        <v>0</v>
      </c>
      <c r="L54" s="584">
        <f>(L53-(E18+5/E28))*100/(E18+5/E28)</f>
        <v>0</v>
      </c>
      <c r="M54" s="585">
        <f>(M53-E31)*100/E31</f>
        <v>0</v>
      </c>
      <c r="N54" s="172" t="str">
        <f>IF(OR(IF(ISNUMBER(K54),IF(ABS(K54)&gt;5,1,0),0),IF(ISNUMBER(L54),IF(ABS(L54)&gt;5,1,0),0),IF(ISNUMBER(M54),IF(ABS(M54)&gt;5,1,0),0)),"&lt;= Err","")</f>
        <v/>
      </c>
      <c r="O54" s="172"/>
      <c r="P54" s="53"/>
      <c r="Q54" s="122"/>
      <c r="R54" s="632"/>
      <c r="S54" s="44"/>
      <c r="T54" s="44"/>
      <c r="U54" s="358">
        <v>1</v>
      </c>
      <c r="V54" s="358">
        <v>2</v>
      </c>
      <c r="W54" s="358">
        <v>3</v>
      </c>
      <c r="X54" s="133"/>
      <c r="Y54" s="166"/>
      <c r="Z54" s="358">
        <v>1</v>
      </c>
      <c r="AA54" s="358">
        <v>2</v>
      </c>
      <c r="AB54" s="358">
        <v>3</v>
      </c>
      <c r="AC54" s="166"/>
      <c r="AD54" s="44"/>
      <c r="AE54" s="122"/>
      <c r="AF54" s="123"/>
    </row>
    <row r="55" spans="1:32" x14ac:dyDescent="0.25">
      <c r="A55" s="17"/>
      <c r="B55" s="17"/>
      <c r="C55" s="17"/>
      <c r="D55" s="17"/>
      <c r="E55" s="17"/>
      <c r="F55" s="122"/>
      <c r="G55" s="632"/>
      <c r="H55" s="44"/>
      <c r="I55" s="734" t="s">
        <v>46</v>
      </c>
      <c r="J55" s="735"/>
      <c r="K55" s="342">
        <f>ABS(IF(OR(P39="",P39=0),N39,P39)/IF(E33=2,E29,1))</f>
        <v>10</v>
      </c>
      <c r="L55" s="342">
        <f>ABS(IF(OR(P38="",P38=0),N38,P38)/IF(E33=2,E29,1))</f>
        <v>15</v>
      </c>
      <c r="M55" s="343">
        <f>L55-K55</f>
        <v>5</v>
      </c>
      <c r="N55" s="64"/>
      <c r="O55" s="145"/>
      <c r="P55" s="53"/>
      <c r="Q55" s="122"/>
      <c r="R55" s="632"/>
      <c r="S55" s="44"/>
      <c r="T55" s="44" t="s">
        <v>21</v>
      </c>
      <c r="U55" s="383">
        <f>U35</f>
        <v>10</v>
      </c>
      <c r="V55" s="383">
        <f>U35*POWER(SIN(RADIANS(U37)),2)+COS(RADIANS(U37))*SQRT(POWER(ROUNDDOWN(0.9*V43,IF(V43&lt;1,2,1)),2)-POWER(U35,2)*POWER(SIN(RADIANS(U37)),2))</f>
        <v>16.271717400911296</v>
      </c>
      <c r="W55" s="383">
        <f>IF(V41*X41&lt;0,0,W41)</f>
        <v>0</v>
      </c>
      <c r="X55" s="388"/>
      <c r="Y55" s="44" t="s">
        <v>21</v>
      </c>
      <c r="Z55" s="383">
        <f>V35</f>
        <v>15</v>
      </c>
      <c r="AA55" s="383">
        <f>V35*POWER(SIN(RADIANS(V37)),2)+COS(RADIANS(V37))*SQRT(POWER(V57,2)-POWER(V35,2)*POWER(SIN(RADIANS(V37)),2))</f>
        <v>19.761782001095014</v>
      </c>
      <c r="AB55" s="383">
        <f>IF(V48*X48&lt;0,0,W48)</f>
        <v>0</v>
      </c>
      <c r="AC55" s="44"/>
      <c r="AD55" s="44"/>
      <c r="AE55" s="122"/>
      <c r="AF55" s="123"/>
    </row>
    <row r="56" spans="1:32" x14ac:dyDescent="0.25">
      <c r="A56" s="17"/>
      <c r="B56" s="17"/>
      <c r="C56" s="17"/>
      <c r="D56" s="17"/>
      <c r="E56" s="17"/>
      <c r="F56" s="122"/>
      <c r="G56" s="632"/>
      <c r="H56" s="44"/>
      <c r="I56" s="732" t="s">
        <v>55</v>
      </c>
      <c r="J56" s="733"/>
      <c r="K56" s="584">
        <f>(K55-E19)*100/E19</f>
        <v>0</v>
      </c>
      <c r="L56" s="584">
        <f>(L55-(E19+5/E28))*100/(E19+5/E28)</f>
        <v>0</v>
      </c>
      <c r="M56" s="585">
        <f>(M55-E31)*100/E31</f>
        <v>0</v>
      </c>
      <c r="N56" s="172" t="str">
        <f>IF(OR(IF(ISNUMBER(K56),IF(ABS(K56)&gt;5,1,0),0),IF(ISNUMBER(L56),IF(ABS(L56)&gt;5,1,0),0),IF(ISNUMBER(M56),IF(ABS(M56)&gt;5,1,0),0)),"&lt;= Err","")</f>
        <v/>
      </c>
      <c r="O56" s="18"/>
      <c r="P56" s="18"/>
      <c r="Q56" s="122"/>
      <c r="R56" s="632"/>
      <c r="S56" s="44"/>
      <c r="T56" s="44" t="s">
        <v>45</v>
      </c>
      <c r="U56" s="383">
        <f>0</f>
        <v>0</v>
      </c>
      <c r="V56" s="383">
        <f>TAN(RADIANS(U37))*(V55-U35)</f>
        <v>17.231401940204414</v>
      </c>
      <c r="W56" s="383">
        <f>W42</f>
        <v>20</v>
      </c>
      <c r="X56" s="388"/>
      <c r="Y56" s="44" t="s">
        <v>45</v>
      </c>
      <c r="Z56" s="393">
        <f>0</f>
        <v>0</v>
      </c>
      <c r="AA56" s="393">
        <f>TAN(RADIANS(V37))*(AA55-V35)</f>
        <v>13.082888524373994</v>
      </c>
      <c r="AB56" s="393">
        <f>W49</f>
        <v>25</v>
      </c>
      <c r="AC56" s="44"/>
      <c r="AD56" s="44"/>
      <c r="AE56" s="122"/>
      <c r="AF56" s="123"/>
    </row>
    <row r="57" spans="1:32" x14ac:dyDescent="0.25">
      <c r="A57" s="17"/>
      <c r="B57" s="17"/>
      <c r="C57" s="17"/>
      <c r="D57" s="17"/>
      <c r="E57" s="17"/>
      <c r="F57" s="122"/>
      <c r="G57" s="632"/>
      <c r="H57" s="44"/>
      <c r="I57" s="734" t="s">
        <v>458</v>
      </c>
      <c r="J57" s="735"/>
      <c r="K57" s="344">
        <f>IF(OR(P39="",P39=0,P42="",P42=0),DEGREES(ATAN((K42*SIN(RADIANS(N42))-N39*SIN(RADIANS(L39)))/(K42*COS(RADIANS(N42))-N39*COS(RADIANS(L39))))),DEGREES(ATAN((K42*SIN(RADIANS(P42))-P39*SIN(RADIANS(L39)))/(K42*COS(RADIANS(P42))-P39*COS(RADIANS(L39))))))</f>
        <v>70</v>
      </c>
      <c r="L57" s="344">
        <f>IF(OR(P38="",P38=0,P41="",P41=0),DEGREES(ATAN((K41*SIN(RADIANS(N41))-N38*SIN(RADIANS(L38)))/(K41*COS(RADIANS(N41))-N38*COS(RADIANS(L38))))),DEGREES(ATAN((K41*SIN(RADIANS(P41))-P38*SIN(RADIANS(L38)))/(K41*COS(RADIANS(P41))-P38*COS(RADIANS(L38))))))</f>
        <v>70</v>
      </c>
      <c r="M57" s="343">
        <f>(K42*SIN(RADIANS(N42))/TAN(RADIANS(L57)))+L55-K42*COS(RADIANS(N42))</f>
        <v>5</v>
      </c>
      <c r="N57" s="64"/>
      <c r="O57" s="17"/>
      <c r="P57" s="17"/>
      <c r="Q57" s="122"/>
      <c r="R57" s="632"/>
      <c r="S57" s="44"/>
      <c r="T57" s="392" t="s">
        <v>120</v>
      </c>
      <c r="U57" s="383">
        <f>SQRT(POWER(U55,2)+POWER(U56,2))</f>
        <v>10</v>
      </c>
      <c r="V57" s="383">
        <f>SQRT(POWER(V55,2)+POWER(V56,2))</f>
        <v>23.7</v>
      </c>
      <c r="W57" s="383">
        <f>SQRT(POWER(W55,2)+POWER(W56,2))</f>
        <v>20</v>
      </c>
      <c r="X57" s="388"/>
      <c r="Y57" s="392" t="s">
        <v>120</v>
      </c>
      <c r="Z57" s="383">
        <f>SQRT(POWER(Z55,2)+POWER(Z56,2))</f>
        <v>15</v>
      </c>
      <c r="AA57" s="383">
        <f>SQRT(POWER(AA55,2)+POWER(AA56,2))</f>
        <v>23.699999999999992</v>
      </c>
      <c r="AB57" s="383">
        <f>SQRT(POWER(AB55,2)+POWER(AB56,2))</f>
        <v>25</v>
      </c>
      <c r="AC57" s="44"/>
      <c r="AD57" s="44"/>
      <c r="AE57" s="122"/>
      <c r="AF57" s="123"/>
    </row>
    <row r="58" spans="1:32" ht="15.75" thickBot="1" x14ac:dyDescent="0.3">
      <c r="A58" s="17"/>
      <c r="B58" s="17"/>
      <c r="C58" s="17"/>
      <c r="D58" s="17"/>
      <c r="E58" s="17"/>
      <c r="F58" s="122"/>
      <c r="G58" s="632"/>
      <c r="H58" s="44"/>
      <c r="I58" s="728" t="s">
        <v>461</v>
      </c>
      <c r="J58" s="729"/>
      <c r="K58" s="588">
        <f>K57-E21</f>
        <v>0</v>
      </c>
      <c r="L58" s="588">
        <f>L57-E21</f>
        <v>0</v>
      </c>
      <c r="M58" s="589">
        <f>(M57-E31)*100/E31</f>
        <v>0</v>
      </c>
      <c r="N58" s="172" t="str">
        <f>IF(OR(IF(ISNUMBER(K58),IF(ABS(K58)&gt;5,1,0),0),IF(ISNUMBER(L58),IF(ABS(L58)&gt;5,1,0),0),IF(ISNUMBER(M58),IF(ABS(M58)&gt;5,1,0),0)),"&lt;= Err","")</f>
        <v/>
      </c>
      <c r="O58" s="17"/>
      <c r="P58" s="17"/>
      <c r="Q58" s="122"/>
      <c r="R58" s="645"/>
      <c r="S58" s="44"/>
      <c r="T58" s="392" t="s">
        <v>121</v>
      </c>
      <c r="U58" s="393">
        <f>IF(U55=0,90,DEGREES(ATAN(U56/U55)))</f>
        <v>0</v>
      </c>
      <c r="V58" s="393">
        <f>IF(V55=0,90,DEGREES(ATAN(V56/V55)))</f>
        <v>46.64076788475721</v>
      </c>
      <c r="W58" s="393">
        <f>IF(W55=0,90,DEGREES(ATAN(W56/W55)))</f>
        <v>90</v>
      </c>
      <c r="X58" s="394"/>
      <c r="Y58" s="392" t="s">
        <v>121</v>
      </c>
      <c r="Z58" s="393">
        <f>IF(Z55=0,90,DEGREES(ATAN(Z56/Z55)))</f>
        <v>0</v>
      </c>
      <c r="AA58" s="393">
        <f>IF(AA55=0,90,DEGREES(ATAN(AA56/AA55)))</f>
        <v>33.505746186683226</v>
      </c>
      <c r="AB58" s="393">
        <f>IF(AB55=0,90,DEGREES(ATAN(AB56/AB55)))</f>
        <v>90</v>
      </c>
      <c r="AC58" s="44"/>
      <c r="AD58" s="44"/>
      <c r="AE58" s="122"/>
      <c r="AF58" s="123"/>
    </row>
    <row r="59" spans="1:32" ht="15" customHeight="1" x14ac:dyDescent="0.25">
      <c r="A59" s="17"/>
      <c r="B59" s="17"/>
      <c r="C59" s="17"/>
      <c r="D59" s="17"/>
      <c r="E59" s="17"/>
      <c r="F59" s="122"/>
      <c r="G59" s="632"/>
      <c r="H59" s="17"/>
      <c r="I59" s="17"/>
      <c r="J59" s="17"/>
      <c r="K59" s="17"/>
      <c r="L59" s="17"/>
      <c r="M59" s="17"/>
      <c r="N59" s="17"/>
      <c r="O59" s="17"/>
      <c r="P59" s="17"/>
      <c r="Q59" s="122"/>
      <c r="R59" s="123"/>
      <c r="S59" s="44"/>
      <c r="T59" s="166"/>
      <c r="U59" s="166"/>
      <c r="V59" s="166"/>
      <c r="W59" s="166"/>
      <c r="X59" s="174"/>
      <c r="Y59" s="174"/>
      <c r="Z59" s="174"/>
      <c r="AA59" s="166"/>
      <c r="AB59" s="166"/>
      <c r="AC59" s="166"/>
      <c r="AD59" s="44"/>
      <c r="AE59" s="122"/>
      <c r="AF59" s="123"/>
    </row>
    <row r="60" spans="1:32" x14ac:dyDescent="0.25">
      <c r="A60" s="17"/>
      <c r="B60" s="17"/>
      <c r="C60" s="17"/>
      <c r="D60" s="17"/>
      <c r="E60" s="17"/>
      <c r="F60" s="122"/>
      <c r="G60" s="632"/>
      <c r="H60" s="17"/>
      <c r="I60" s="174"/>
      <c r="J60" s="174"/>
      <c r="K60" s="174"/>
      <c r="L60" s="174"/>
      <c r="M60" s="174"/>
      <c r="N60" s="174"/>
      <c r="O60" s="174"/>
      <c r="P60" s="174"/>
      <c r="Q60" s="122"/>
      <c r="R60" s="123"/>
      <c r="S60" s="44"/>
      <c r="T60" s="166"/>
      <c r="U60" s="166"/>
      <c r="V60" s="166"/>
      <c r="W60" s="166"/>
      <c r="X60" s="174"/>
      <c r="Y60" s="174"/>
      <c r="Z60" s="122"/>
      <c r="AA60" s="122"/>
      <c r="AB60" s="44"/>
      <c r="AC60" s="44"/>
      <c r="AD60" s="44"/>
      <c r="AE60" s="122"/>
      <c r="AF60" s="123"/>
    </row>
    <row r="61" spans="1:32" ht="15" customHeight="1" x14ac:dyDescent="0.25">
      <c r="A61" s="17"/>
      <c r="B61" s="17"/>
      <c r="C61" s="17"/>
      <c r="D61" s="17"/>
      <c r="E61" s="17"/>
      <c r="F61" s="122"/>
      <c r="G61" s="632"/>
      <c r="H61" s="17"/>
      <c r="I61" s="43" t="s">
        <v>480</v>
      </c>
      <c r="J61" s="17"/>
      <c r="K61" s="17"/>
      <c r="L61" s="17"/>
      <c r="M61" s="17"/>
      <c r="N61" s="174"/>
      <c r="O61" s="174"/>
      <c r="P61" s="174"/>
      <c r="Q61" s="122"/>
      <c r="R61" s="123"/>
      <c r="S61" s="44"/>
      <c r="T61" s="166"/>
      <c r="U61" s="166"/>
      <c r="V61" s="166"/>
      <c r="W61" s="166"/>
      <c r="X61" s="174"/>
      <c r="Y61" s="174"/>
      <c r="Z61" s="122"/>
      <c r="AA61" s="122"/>
      <c r="AB61" s="44"/>
      <c r="AC61" s="44"/>
      <c r="AD61" s="44"/>
      <c r="AE61" s="122"/>
      <c r="AF61" s="123"/>
    </row>
    <row r="62" spans="1:32" ht="15.75" thickBot="1" x14ac:dyDescent="0.3">
      <c r="A62" s="17"/>
      <c r="B62" s="17"/>
      <c r="C62" s="17"/>
      <c r="D62" s="17"/>
      <c r="E62" s="17"/>
      <c r="F62" s="122"/>
      <c r="G62" s="632"/>
      <c r="H62" s="17"/>
      <c r="I62" s="17"/>
      <c r="J62" s="17"/>
      <c r="K62" s="17"/>
      <c r="L62" s="17"/>
      <c r="M62" s="17"/>
      <c r="N62" s="174"/>
      <c r="O62" s="174"/>
      <c r="P62" s="174"/>
      <c r="Q62" s="122"/>
      <c r="R62" s="123"/>
      <c r="S62" s="646"/>
      <c r="T62" s="647"/>
      <c r="U62" s="647"/>
      <c r="V62" s="647"/>
      <c r="W62" s="647"/>
      <c r="X62" s="645"/>
      <c r="Y62" s="645"/>
      <c r="Z62" s="632"/>
      <c r="AA62" s="632"/>
      <c r="AB62" s="646"/>
      <c r="AC62" s="646"/>
      <c r="AD62" s="646"/>
      <c r="AE62" s="632"/>
      <c r="AF62" s="645"/>
    </row>
    <row r="63" spans="1:32" ht="15.75" customHeight="1" x14ac:dyDescent="0.25">
      <c r="A63" s="17"/>
      <c r="B63" s="17"/>
      <c r="C63" s="17"/>
      <c r="D63" s="17"/>
      <c r="E63" s="17"/>
      <c r="F63" s="122"/>
      <c r="G63" s="632"/>
      <c r="H63" s="17"/>
      <c r="I63" s="721" t="s">
        <v>0</v>
      </c>
      <c r="J63" s="723" t="s">
        <v>65</v>
      </c>
      <c r="K63" s="725" t="s">
        <v>124</v>
      </c>
      <c r="L63" s="725"/>
      <c r="M63" s="726"/>
      <c r="N63" s="17"/>
      <c r="O63" s="17"/>
      <c r="P63" s="17"/>
      <c r="Q63" s="122"/>
      <c r="R63" s="123"/>
      <c r="S63" s="646"/>
      <c r="T63" s="647"/>
      <c r="U63" s="647"/>
      <c r="V63" s="647"/>
      <c r="W63" s="647"/>
      <c r="X63" s="645"/>
      <c r="Y63" s="645"/>
      <c r="Z63" s="632"/>
      <c r="AA63" s="632"/>
      <c r="AB63" s="646"/>
      <c r="AC63" s="646"/>
      <c r="AD63" s="646"/>
      <c r="AE63" s="632"/>
      <c r="AF63" s="645"/>
    </row>
    <row r="64" spans="1:32" ht="15.75" thickBot="1" x14ac:dyDescent="0.3">
      <c r="A64" s="17"/>
      <c r="B64" s="17"/>
      <c r="C64" s="17"/>
      <c r="D64" s="17"/>
      <c r="E64" s="17"/>
      <c r="F64" s="122"/>
      <c r="G64" s="632"/>
      <c r="H64" s="17"/>
      <c r="I64" s="722"/>
      <c r="J64" s="724"/>
      <c r="K64" s="338" t="s">
        <v>276</v>
      </c>
      <c r="L64" s="338" t="s">
        <v>277</v>
      </c>
      <c r="M64" s="339" t="s">
        <v>278</v>
      </c>
      <c r="N64" s="17"/>
      <c r="O64" s="17"/>
      <c r="P64" s="17"/>
      <c r="Q64" s="122"/>
      <c r="R64" s="123"/>
      <c r="S64" s="646"/>
      <c r="T64" s="647"/>
      <c r="U64" s="647"/>
      <c r="V64" s="647"/>
      <c r="W64" s="647"/>
      <c r="X64" s="645"/>
      <c r="Y64" s="645"/>
      <c r="Z64" s="632"/>
      <c r="AA64" s="632"/>
      <c r="AB64" s="646"/>
      <c r="AC64" s="646"/>
      <c r="AD64" s="646"/>
      <c r="AE64" s="632"/>
      <c r="AF64" s="645"/>
    </row>
    <row r="65" spans="1:32" ht="15.75" customHeight="1" x14ac:dyDescent="0.25">
      <c r="A65" s="17"/>
      <c r="B65" s="17"/>
      <c r="C65" s="17"/>
      <c r="D65" s="17"/>
      <c r="E65" s="17"/>
      <c r="F65" s="122"/>
      <c r="G65" s="632"/>
      <c r="H65" s="17"/>
      <c r="I65" s="563" t="s">
        <v>47</v>
      </c>
      <c r="J65" s="546">
        <f>E18</f>
        <v>20</v>
      </c>
      <c r="K65" s="545">
        <f t="shared" ref="K65:M66" si="4">K53</f>
        <v>20</v>
      </c>
      <c r="L65" s="512">
        <f t="shared" si="4"/>
        <v>25</v>
      </c>
      <c r="M65" s="513">
        <f t="shared" si="4"/>
        <v>5</v>
      </c>
      <c r="N65" s="17"/>
      <c r="O65" s="17"/>
      <c r="P65" s="17"/>
      <c r="Q65" s="122"/>
      <c r="R65" s="123"/>
      <c r="S65" s="123"/>
      <c r="T65" s="123"/>
      <c r="U65" s="123"/>
      <c r="V65" s="123"/>
      <c r="W65" s="123"/>
      <c r="X65" s="123"/>
      <c r="Y65" s="123"/>
      <c r="Z65" s="123"/>
      <c r="AA65" s="123"/>
      <c r="AB65" s="123"/>
      <c r="AC65" s="123"/>
      <c r="AD65" s="123"/>
      <c r="AE65" s="123"/>
      <c r="AF65" s="123"/>
    </row>
    <row r="66" spans="1:32" x14ac:dyDescent="0.25">
      <c r="A66" s="17"/>
      <c r="B66" s="17"/>
      <c r="C66" s="17"/>
      <c r="D66" s="17"/>
      <c r="E66" s="17"/>
      <c r="F66" s="122"/>
      <c r="G66" s="632"/>
      <c r="H66" s="17"/>
      <c r="I66" s="564" t="s">
        <v>54</v>
      </c>
      <c r="J66" s="554" t="s">
        <v>455</v>
      </c>
      <c r="K66" s="531">
        <f t="shared" si="4"/>
        <v>0</v>
      </c>
      <c r="L66" s="508">
        <f t="shared" si="4"/>
        <v>0</v>
      </c>
      <c r="M66" s="509">
        <f t="shared" si="4"/>
        <v>0</v>
      </c>
      <c r="N66" s="17"/>
      <c r="O66" s="17"/>
      <c r="P66" s="17"/>
      <c r="Q66" s="122"/>
      <c r="R66" s="123"/>
      <c r="S66" s="123"/>
      <c r="T66" s="123"/>
      <c r="U66" s="123"/>
      <c r="V66" s="123"/>
      <c r="W66" s="123"/>
      <c r="X66" s="123"/>
      <c r="Y66" s="123"/>
      <c r="Z66" s="123"/>
      <c r="AA66" s="123"/>
      <c r="AB66" s="123"/>
      <c r="AC66" s="123"/>
      <c r="AD66" s="123"/>
      <c r="AE66" s="123"/>
      <c r="AF66" s="123"/>
    </row>
    <row r="67" spans="1:32" ht="16.5" customHeight="1" x14ac:dyDescent="0.25">
      <c r="A67" s="17"/>
      <c r="B67" s="17"/>
      <c r="C67" s="17"/>
      <c r="D67" s="17"/>
      <c r="E67" s="17"/>
      <c r="F67" s="122"/>
      <c r="G67" s="632"/>
      <c r="H67" s="17"/>
      <c r="I67" s="540" t="str">
        <f>CONCATENATE("U, B (при I = ",E29,"A / 0",CHAR(176),")")</f>
        <v>U, B (при I = 1A / 0°)</v>
      </c>
      <c r="J67" s="556" t="s">
        <v>56</v>
      </c>
      <c r="K67" s="532" t="str">
        <f>CONCATENATE(TEXT(ABS(IF(OR(P34="",P34=0),N34,P34)*IF(E33=1,E29,1)),"0,00")," / ",TEXT(L34,"0,0"),CHAR(176))</f>
        <v>20,00 / 90,0°</v>
      </c>
      <c r="L67" s="518" t="str">
        <f>CONCATENATE(TEXT(ABS(IF(OR(P33="",P33=0),N33,P33)*IF(E33=1,E29,1)),"0,00")," / ",TEXT(L33,"0,0"),CHAR(176))</f>
        <v>25,00 / 90,0°</v>
      </c>
      <c r="M67" s="520" t="s">
        <v>56</v>
      </c>
      <c r="N67" s="17"/>
      <c r="O67" s="17"/>
      <c r="P67" s="17"/>
      <c r="Q67" s="122"/>
      <c r="R67" s="123"/>
      <c r="S67" s="123"/>
      <c r="T67" s="123"/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/>
      <c r="AF67" s="123"/>
    </row>
    <row r="68" spans="1:32" x14ac:dyDescent="0.25">
      <c r="A68" s="17"/>
      <c r="B68" s="17"/>
      <c r="C68" s="17"/>
      <c r="D68" s="17"/>
      <c r="E68" s="17"/>
      <c r="F68" s="122"/>
      <c r="G68" s="632"/>
      <c r="H68" s="17"/>
      <c r="I68" s="541" t="s">
        <v>46</v>
      </c>
      <c r="J68" s="547">
        <f>E19</f>
        <v>10</v>
      </c>
      <c r="K68" s="533">
        <f t="shared" ref="K68:M69" si="5">K55</f>
        <v>10</v>
      </c>
      <c r="L68" s="494">
        <f t="shared" si="5"/>
        <v>15</v>
      </c>
      <c r="M68" s="495">
        <f t="shared" si="5"/>
        <v>5</v>
      </c>
      <c r="N68" s="17"/>
      <c r="O68" s="17"/>
      <c r="P68" s="17"/>
      <c r="Q68" s="122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</row>
    <row r="69" spans="1:32" ht="15.75" customHeight="1" x14ac:dyDescent="0.25">
      <c r="A69" s="17"/>
      <c r="B69" s="17"/>
      <c r="C69" s="17"/>
      <c r="D69" s="17"/>
      <c r="E69" s="17"/>
      <c r="F69" s="122"/>
      <c r="G69" s="632"/>
      <c r="H69" s="17"/>
      <c r="I69" s="564" t="s">
        <v>55</v>
      </c>
      <c r="J69" s="554" t="s">
        <v>455</v>
      </c>
      <c r="K69" s="531">
        <f t="shared" si="5"/>
        <v>0</v>
      </c>
      <c r="L69" s="508">
        <f t="shared" si="5"/>
        <v>0</v>
      </c>
      <c r="M69" s="509">
        <f t="shared" si="5"/>
        <v>0</v>
      </c>
      <c r="N69" s="17"/>
      <c r="O69" s="17"/>
      <c r="P69" s="17"/>
      <c r="Q69" s="122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</row>
    <row r="70" spans="1:32" x14ac:dyDescent="0.25">
      <c r="A70" s="17"/>
      <c r="B70" s="17"/>
      <c r="C70" s="17"/>
      <c r="D70" s="17"/>
      <c r="E70" s="17"/>
      <c r="F70" s="122"/>
      <c r="G70" s="632"/>
      <c r="H70" s="17"/>
      <c r="I70" s="540" t="str">
        <f>I67</f>
        <v>U, B (при I = 1A / 0°)</v>
      </c>
      <c r="J70" s="556" t="s">
        <v>56</v>
      </c>
      <c r="K70" s="532" t="str">
        <f>CONCATENATE(TEXT(ABS(IF(OR(P39="",P39=0),N39,P39)*IF(E33=1,E29,1)),"0,00")," / ",TEXT(L39,"0,0"),CHAR(176))</f>
        <v>10,00 / 0,0°</v>
      </c>
      <c r="L70" s="518" t="str">
        <f>CONCATENATE(TEXT(ABS(IF(OR(P38="",P38=0),N38,P38)*IF(E33=1,E29,1)),"0,00")," / ",TEXT(L38,"0,0"),CHAR(176))</f>
        <v>15,00 / 0,0°</v>
      </c>
      <c r="M70" s="520" t="s">
        <v>56</v>
      </c>
      <c r="N70" s="17"/>
      <c r="O70" s="17"/>
      <c r="P70" s="17"/>
      <c r="Q70" s="122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</row>
    <row r="71" spans="1:32" x14ac:dyDescent="0.25">
      <c r="A71" s="17"/>
      <c r="B71" s="17"/>
      <c r="C71" s="17"/>
      <c r="D71" s="17"/>
      <c r="E71" s="17"/>
      <c r="F71" s="122"/>
      <c r="G71" s="632"/>
      <c r="H71" s="17"/>
      <c r="I71" s="541" t="s">
        <v>458</v>
      </c>
      <c r="J71" s="557">
        <f>E21</f>
        <v>70</v>
      </c>
      <c r="K71" s="534">
        <f t="shared" ref="K71:M72" si="6">K57</f>
        <v>70</v>
      </c>
      <c r="L71" s="496">
        <f t="shared" si="6"/>
        <v>70</v>
      </c>
      <c r="M71" s="497">
        <f t="shared" si="6"/>
        <v>5</v>
      </c>
      <c r="N71" s="17"/>
      <c r="O71" s="17"/>
      <c r="P71" s="17"/>
      <c r="Q71" s="122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</row>
    <row r="72" spans="1:32" ht="15.75" x14ac:dyDescent="0.25">
      <c r="A72" s="17"/>
      <c r="B72" s="17"/>
      <c r="C72" s="17"/>
      <c r="D72" s="17"/>
      <c r="E72" s="17"/>
      <c r="F72" s="122"/>
      <c r="G72" s="632"/>
      <c r="H72" s="17"/>
      <c r="I72" s="564" t="s">
        <v>461</v>
      </c>
      <c r="J72" s="554" t="s">
        <v>455</v>
      </c>
      <c r="K72" s="531">
        <f t="shared" si="6"/>
        <v>0</v>
      </c>
      <c r="L72" s="508">
        <f t="shared" si="6"/>
        <v>0</v>
      </c>
      <c r="M72" s="509">
        <f t="shared" si="6"/>
        <v>0</v>
      </c>
      <c r="N72" s="17"/>
      <c r="O72" s="17"/>
      <c r="P72" s="17"/>
      <c r="Q72" s="122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</row>
    <row r="73" spans="1:32" ht="26.25" thickBot="1" x14ac:dyDescent="0.3">
      <c r="A73" s="17"/>
      <c r="B73" s="17"/>
      <c r="C73" s="17"/>
      <c r="D73" s="17"/>
      <c r="E73" s="17"/>
      <c r="F73" s="122"/>
      <c r="G73" s="632"/>
      <c r="H73" s="17"/>
      <c r="I73" s="562" t="str">
        <f>I67</f>
        <v>U, B (при I = 1A / 0°)</v>
      </c>
      <c r="J73" s="561" t="s">
        <v>56</v>
      </c>
      <c r="K73" s="539" t="str">
        <f>CONCATENATE(TEXT(ABS(IF(OR(P39="",P39=0),N39,P39)*IF(E40=1,E36,1)),"0,00")," / ",TEXT(L39,"0,0"),CHAR(176),CHAR(10),TEXT(ABS(K42*IF(E40=1,E36,1)),"0,00")," / ",TEXT(IF(OR(P42="",P42=0),N42,P42),"0,0"),CHAR(176))</f>
        <v>10,00 / 0,0°
23,70 / 46,6°</v>
      </c>
      <c r="L73" s="514" t="str">
        <f>CONCATENATE(TEXT(ABS(IF(OR(P38="",P38=0),N38,P38)*IF(E40=1,E36,1)),"0,00")," / ",TEXT(L38,"0,0"),CHAR(176),CHAR(10),TEXT(ABS(K41*IF(E40=1,E36,1)),"0,00")," / ",TEXT(IF(OR(P41="",P41=0),N41,P41),"0,0"),CHAR(176))</f>
        <v>15,00 / 0,0°
23,70 / 33,5°</v>
      </c>
      <c r="M73" s="515" t="s">
        <v>56</v>
      </c>
      <c r="N73" s="17"/>
      <c r="O73" s="17"/>
      <c r="P73" s="17"/>
      <c r="Q73" s="122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</row>
    <row r="74" spans="1:32" x14ac:dyDescent="0.25">
      <c r="A74" s="123"/>
      <c r="B74" s="123"/>
      <c r="C74" s="123"/>
      <c r="D74" s="123"/>
      <c r="E74" s="123"/>
      <c r="F74" s="123"/>
      <c r="G74" s="645"/>
      <c r="H74" s="17"/>
      <c r="I74" s="17"/>
      <c r="J74" s="17"/>
      <c r="K74" s="17"/>
      <c r="L74" s="17"/>
      <c r="M74" s="17"/>
      <c r="N74" s="17"/>
      <c r="O74" s="17"/>
      <c r="P74" s="17"/>
      <c r="Q74" s="122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</row>
    <row r="75" spans="1:32" x14ac:dyDescent="0.25">
      <c r="A75" s="123"/>
      <c r="B75" s="123"/>
      <c r="C75" s="123"/>
      <c r="D75" s="123"/>
      <c r="E75" s="123"/>
      <c r="F75" s="123"/>
      <c r="G75" s="123"/>
      <c r="H75" s="17"/>
      <c r="I75" s="17"/>
      <c r="J75" s="17"/>
      <c r="K75" s="17"/>
      <c r="L75" s="17"/>
      <c r="M75" s="17"/>
      <c r="N75" s="17"/>
      <c r="O75" s="17"/>
      <c r="P75" s="17"/>
      <c r="Q75" s="122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</row>
    <row r="76" spans="1:32" ht="15" customHeight="1" x14ac:dyDescent="0.25">
      <c r="A76" s="123"/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</row>
    <row r="77" spans="1:32" x14ac:dyDescent="0.25">
      <c r="A77" s="123"/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</row>
    <row r="78" spans="1:32" x14ac:dyDescent="0.25">
      <c r="A78" s="123"/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</row>
  </sheetData>
  <sheetProtection sheet="1" objects="1" scenarios="1" selectLockedCells="1"/>
  <mergeCells count="15">
    <mergeCell ref="T28:U29"/>
    <mergeCell ref="I63:I64"/>
    <mergeCell ref="J63:J64"/>
    <mergeCell ref="K63:M63"/>
    <mergeCell ref="A1:B3"/>
    <mergeCell ref="I56:J56"/>
    <mergeCell ref="I57:J57"/>
    <mergeCell ref="I54:J54"/>
    <mergeCell ref="I58:J58"/>
    <mergeCell ref="I55:J55"/>
    <mergeCell ref="C1:O3"/>
    <mergeCell ref="I48:I49"/>
    <mergeCell ref="I51:J52"/>
    <mergeCell ref="K51:M51"/>
    <mergeCell ref="I53:J53"/>
  </mergeCells>
  <hyperlinks>
    <hyperlink ref="A1:B3" location="Содержание!D32" display=")"/>
  </hyperlinks>
  <pageMargins left="0.7" right="0.7" top="0.75" bottom="0.75" header="0.3" footer="0.3"/>
  <pageSetup paperSize="9" orientation="portrait" horizontalDpi="300" r:id="rId1"/>
  <drawing r:id="rId2"/>
  <legacyDrawing r:id="rId3"/>
  <oleObjects>
    <mc:AlternateContent xmlns:mc="http://schemas.openxmlformats.org/markup-compatibility/2006">
      <mc:Choice Requires="x14">
        <oleObject progId="Visio.Drawing.15" shapeId="5292693" r:id="rId4">
          <objectPr defaultSize="0" autoPict="0" r:id="rId5">
            <anchor moveWithCells="1">
              <from>
                <xdr:col>1</xdr:col>
                <xdr:colOff>0</xdr:colOff>
                <xdr:row>36</xdr:row>
                <xdr:rowOff>0</xdr:rowOff>
              </from>
              <to>
                <xdr:col>4</xdr:col>
                <xdr:colOff>428625</xdr:colOff>
                <xdr:row>72</xdr:row>
                <xdr:rowOff>219075</xdr:rowOff>
              </to>
            </anchor>
          </objectPr>
        </oleObject>
      </mc:Choice>
      <mc:Fallback>
        <oleObject progId="Visio.Drawing.15" shapeId="5292693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4"/>
  <dimension ref="A1:AW108"/>
  <sheetViews>
    <sheetView zoomScale="80" zoomScaleNormal="80" workbookViewId="0">
      <pane ySplit="3" topLeftCell="A4" activePane="bottomLeft" state="frozen"/>
      <selection pane="bottomLeft" activeCell="E19" sqref="E19"/>
    </sheetView>
  </sheetViews>
  <sheetFormatPr defaultRowHeight="15" x14ac:dyDescent="0.25"/>
  <cols>
    <col min="1" max="1" width="4.7109375" customWidth="1"/>
    <col min="2" max="2" width="4.28515625" customWidth="1"/>
    <col min="3" max="3" width="35.7109375" bestFit="1" customWidth="1"/>
    <col min="4" max="4" width="14.5703125" bestFit="1" customWidth="1"/>
    <col min="5" max="5" width="13.85546875" customWidth="1"/>
    <col min="6" max="7" width="4.5703125" customWidth="1"/>
    <col min="8" max="8" width="4.140625" customWidth="1"/>
    <col min="9" max="9" width="29.28515625" customWidth="1"/>
    <col min="10" max="10" width="12.28515625" customWidth="1"/>
    <col min="11" max="11" width="13.85546875" customWidth="1"/>
    <col min="12" max="12" width="13.7109375" bestFit="1" customWidth="1"/>
    <col min="13" max="13" width="13.5703125" bestFit="1" customWidth="1"/>
    <col min="14" max="14" width="13.7109375" bestFit="1" customWidth="1"/>
    <col min="15" max="15" width="13.85546875" customWidth="1"/>
    <col min="16" max="16" width="13.7109375" bestFit="1" customWidth="1"/>
    <col min="17" max="18" width="13.42578125" customWidth="1"/>
    <col min="19" max="20" width="5" customWidth="1"/>
    <col min="21" max="21" width="4.5703125" customWidth="1"/>
    <col min="22" max="22" width="10.85546875" customWidth="1"/>
    <col min="23" max="23" width="10.7109375" customWidth="1"/>
    <col min="25" max="25" width="11.5703125" bestFit="1" customWidth="1"/>
    <col min="26" max="26" width="11.7109375" customWidth="1"/>
    <col min="28" max="29" width="10.28515625" customWidth="1"/>
    <col min="31" max="31" width="9.140625" customWidth="1"/>
    <col min="34" max="34" width="8.85546875" customWidth="1"/>
    <col min="35" max="36" width="11" customWidth="1"/>
    <col min="37" max="37" width="10.7109375" customWidth="1"/>
    <col min="38" max="39" width="11.85546875" customWidth="1"/>
    <col min="41" max="42" width="10.42578125" customWidth="1"/>
    <col min="48" max="48" width="4.7109375" customWidth="1"/>
  </cols>
  <sheetData>
    <row r="1" spans="1:49" ht="15" customHeight="1" x14ac:dyDescent="0.25">
      <c r="A1" s="727" t="s">
        <v>427</v>
      </c>
      <c r="B1" s="727"/>
      <c r="C1" s="736" t="s">
        <v>426</v>
      </c>
      <c r="D1" s="736"/>
      <c r="E1" s="736"/>
      <c r="F1" s="736"/>
      <c r="G1" s="736"/>
      <c r="H1" s="736"/>
      <c r="I1" s="736"/>
      <c r="J1" s="736"/>
      <c r="K1" s="736"/>
      <c r="L1" s="11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  <c r="AT1" s="109"/>
      <c r="AU1" s="109"/>
      <c r="AV1" s="109"/>
      <c r="AW1" s="109"/>
    </row>
    <row r="2" spans="1:49" ht="15" customHeight="1" x14ac:dyDescent="0.25">
      <c r="A2" s="727"/>
      <c r="B2" s="727"/>
      <c r="C2" s="736"/>
      <c r="D2" s="736"/>
      <c r="E2" s="736"/>
      <c r="F2" s="736"/>
      <c r="G2" s="736"/>
      <c r="H2" s="736"/>
      <c r="I2" s="736"/>
      <c r="J2" s="736"/>
      <c r="K2" s="736"/>
      <c r="L2" s="11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  <c r="AT2" s="109"/>
      <c r="AU2" s="109"/>
      <c r="AV2" s="109"/>
      <c r="AW2" s="109"/>
    </row>
    <row r="3" spans="1:49" ht="15" customHeight="1" x14ac:dyDescent="0.25">
      <c r="A3" s="727"/>
      <c r="B3" s="727"/>
      <c r="C3" s="736"/>
      <c r="D3" s="736"/>
      <c r="E3" s="736"/>
      <c r="F3" s="736"/>
      <c r="G3" s="736"/>
      <c r="H3" s="736"/>
      <c r="I3" s="736"/>
      <c r="J3" s="736"/>
      <c r="K3" s="736"/>
      <c r="L3" s="11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  <c r="AU3" s="109"/>
      <c r="AV3" s="109"/>
      <c r="AW3" s="109"/>
    </row>
    <row r="4" spans="1:49" x14ac:dyDescent="0.25">
      <c r="A4" s="633"/>
      <c r="B4" s="633"/>
      <c r="C4" s="633"/>
      <c r="D4" s="633"/>
      <c r="E4" s="633"/>
      <c r="F4" s="634"/>
      <c r="G4" s="634"/>
      <c r="H4" s="634"/>
      <c r="I4" s="633"/>
      <c r="J4" s="635"/>
      <c r="K4" s="633"/>
      <c r="L4" s="633"/>
      <c r="M4" s="633"/>
      <c r="N4" s="633"/>
      <c r="O4" s="633"/>
      <c r="P4" s="633"/>
      <c r="Q4" s="633"/>
      <c r="R4" s="633"/>
      <c r="S4" s="633"/>
      <c r="T4" s="633"/>
      <c r="U4" s="633"/>
      <c r="V4" s="633"/>
      <c r="W4" s="634"/>
      <c r="X4" s="635"/>
      <c r="Y4" s="635"/>
      <c r="Z4" s="633"/>
      <c r="AA4" s="633"/>
      <c r="AB4" s="633"/>
      <c r="AC4" s="633"/>
      <c r="AD4" s="633"/>
      <c r="AE4" s="633"/>
      <c r="AF4" s="633"/>
      <c r="AG4" s="633"/>
      <c r="AH4" s="633"/>
      <c r="AI4" s="633"/>
      <c r="AJ4" s="633"/>
      <c r="AK4" s="633"/>
      <c r="AL4" s="633"/>
      <c r="AM4" s="633"/>
      <c r="AN4" s="633"/>
      <c r="AO4" s="633"/>
      <c r="AP4" s="633"/>
      <c r="AQ4" s="633"/>
      <c r="AR4" s="633"/>
      <c r="AS4" s="633"/>
      <c r="AT4" s="633"/>
      <c r="AU4" s="633"/>
      <c r="AV4" s="633"/>
      <c r="AW4" s="109"/>
    </row>
    <row r="5" spans="1:49" x14ac:dyDescent="0.25">
      <c r="A5" s="633"/>
      <c r="B5" s="636" t="s">
        <v>515</v>
      </c>
      <c r="C5" s="636"/>
      <c r="D5" s="633"/>
      <c r="E5" s="633"/>
      <c r="F5" s="634"/>
      <c r="G5" s="634"/>
      <c r="H5" s="634"/>
      <c r="I5" s="633"/>
      <c r="J5" s="635"/>
      <c r="K5" s="633"/>
      <c r="L5" s="633"/>
      <c r="M5" s="633"/>
      <c r="N5" s="633"/>
      <c r="O5" s="633"/>
      <c r="P5" s="633"/>
      <c r="Q5" s="633"/>
      <c r="R5" s="633"/>
      <c r="S5" s="633"/>
      <c r="T5" s="633"/>
      <c r="U5" s="633"/>
      <c r="V5" s="633"/>
      <c r="W5" s="634"/>
      <c r="X5" s="635"/>
      <c r="Y5" s="635"/>
      <c r="Z5" s="633"/>
      <c r="AA5" s="633"/>
      <c r="AB5" s="633"/>
      <c r="AC5" s="633"/>
      <c r="AD5" s="633"/>
      <c r="AE5" s="633"/>
      <c r="AF5" s="633"/>
      <c r="AG5" s="633"/>
      <c r="AH5" s="633"/>
      <c r="AI5" s="633"/>
      <c r="AJ5" s="633"/>
      <c r="AK5" s="633"/>
      <c r="AL5" s="633"/>
      <c r="AM5" s="633"/>
      <c r="AN5" s="633"/>
      <c r="AO5" s="633"/>
      <c r="AP5" s="633"/>
      <c r="AQ5" s="633"/>
      <c r="AR5" s="633"/>
      <c r="AS5" s="633"/>
      <c r="AT5" s="633"/>
      <c r="AU5" s="633"/>
      <c r="AV5" s="633"/>
      <c r="AW5" s="109"/>
    </row>
    <row r="6" spans="1:49" x14ac:dyDescent="0.25">
      <c r="A6" s="633"/>
      <c r="B6" s="636" t="s">
        <v>481</v>
      </c>
      <c r="C6" s="636"/>
      <c r="D6" s="633"/>
      <c r="E6" s="633"/>
      <c r="F6" s="634"/>
      <c r="G6" s="634"/>
      <c r="H6" s="634"/>
      <c r="I6" s="633"/>
      <c r="J6" s="635"/>
      <c r="K6" s="633"/>
      <c r="L6" s="633"/>
      <c r="M6" s="633"/>
      <c r="N6" s="633"/>
      <c r="O6" s="633"/>
      <c r="P6" s="633"/>
      <c r="Q6" s="633"/>
      <c r="R6" s="633"/>
      <c r="S6" s="633"/>
      <c r="T6" s="633"/>
      <c r="U6" s="633"/>
      <c r="V6" s="633"/>
      <c r="W6" s="634"/>
      <c r="X6" s="635"/>
      <c r="Y6" s="635"/>
      <c r="Z6" s="633"/>
      <c r="AA6" s="633"/>
      <c r="AB6" s="633"/>
      <c r="AC6" s="633"/>
      <c r="AD6" s="633"/>
      <c r="AE6" s="633"/>
      <c r="AF6" s="633"/>
      <c r="AG6" s="633"/>
      <c r="AH6" s="633"/>
      <c r="AI6" s="633"/>
      <c r="AJ6" s="633"/>
      <c r="AK6" s="633"/>
      <c r="AL6" s="633"/>
      <c r="AM6" s="633"/>
      <c r="AN6" s="633"/>
      <c r="AO6" s="633"/>
      <c r="AP6" s="633"/>
      <c r="AQ6" s="633"/>
      <c r="AR6" s="633"/>
      <c r="AS6" s="633"/>
      <c r="AT6" s="633"/>
      <c r="AU6" s="633"/>
      <c r="AV6" s="633"/>
      <c r="AW6" s="109"/>
    </row>
    <row r="7" spans="1:49" x14ac:dyDescent="0.25">
      <c r="A7" s="633"/>
      <c r="B7" s="636"/>
      <c r="C7" s="636" t="s">
        <v>520</v>
      </c>
      <c r="D7" s="633"/>
      <c r="E7" s="633"/>
      <c r="F7" s="634"/>
      <c r="G7" s="634"/>
      <c r="H7" s="634"/>
      <c r="I7" s="633"/>
      <c r="J7" s="635"/>
      <c r="K7" s="633"/>
      <c r="L7" s="633"/>
      <c r="M7" s="633"/>
      <c r="N7" s="633"/>
      <c r="O7" s="633"/>
      <c r="P7" s="633"/>
      <c r="Q7" s="633"/>
      <c r="R7" s="633"/>
      <c r="S7" s="633"/>
      <c r="T7" s="633"/>
      <c r="U7" s="633"/>
      <c r="V7" s="633"/>
      <c r="W7" s="634"/>
      <c r="X7" s="635"/>
      <c r="Y7" s="635"/>
      <c r="Z7" s="633"/>
      <c r="AA7" s="633"/>
      <c r="AB7" s="633"/>
      <c r="AC7" s="633"/>
      <c r="AD7" s="633"/>
      <c r="AE7" s="633"/>
      <c r="AF7" s="633"/>
      <c r="AG7" s="633"/>
      <c r="AH7" s="633"/>
      <c r="AI7" s="633"/>
      <c r="AJ7" s="633"/>
      <c r="AK7" s="633"/>
      <c r="AL7" s="633"/>
      <c r="AM7" s="633"/>
      <c r="AN7" s="633"/>
      <c r="AO7" s="633"/>
      <c r="AP7" s="633"/>
      <c r="AQ7" s="633"/>
      <c r="AR7" s="633"/>
      <c r="AS7" s="633"/>
      <c r="AT7" s="633"/>
      <c r="AU7" s="633"/>
      <c r="AV7" s="633"/>
      <c r="AW7" s="109"/>
    </row>
    <row r="8" spans="1:49" x14ac:dyDescent="0.25">
      <c r="A8" s="633"/>
      <c r="B8" s="636"/>
      <c r="C8" s="636" t="s">
        <v>482</v>
      </c>
      <c r="D8" s="633"/>
      <c r="E8" s="633"/>
      <c r="F8" s="634"/>
      <c r="G8" s="634"/>
      <c r="H8" s="634"/>
      <c r="I8" s="633"/>
      <c r="J8" s="635"/>
      <c r="K8" s="633"/>
      <c r="L8" s="633"/>
      <c r="M8" s="633"/>
      <c r="N8" s="633"/>
      <c r="O8" s="633"/>
      <c r="P8" s="633"/>
      <c r="Q8" s="633"/>
      <c r="R8" s="633"/>
      <c r="S8" s="633"/>
      <c r="T8" s="633"/>
      <c r="U8" s="633"/>
      <c r="V8" s="633"/>
      <c r="W8" s="634"/>
      <c r="X8" s="635"/>
      <c r="Y8" s="635"/>
      <c r="Z8" s="633"/>
      <c r="AA8" s="633"/>
      <c r="AB8" s="633"/>
      <c r="AC8" s="633"/>
      <c r="AD8" s="633"/>
      <c r="AE8" s="633"/>
      <c r="AF8" s="633"/>
      <c r="AG8" s="633"/>
      <c r="AH8" s="633"/>
      <c r="AI8" s="633"/>
      <c r="AJ8" s="633"/>
      <c r="AK8" s="633"/>
      <c r="AL8" s="633"/>
      <c r="AM8" s="633"/>
      <c r="AN8" s="633"/>
      <c r="AO8" s="633"/>
      <c r="AP8" s="633"/>
      <c r="AQ8" s="633"/>
      <c r="AR8" s="633"/>
      <c r="AS8" s="633"/>
      <c r="AT8" s="633"/>
      <c r="AU8" s="633"/>
      <c r="AV8" s="633"/>
      <c r="AW8" s="109"/>
    </row>
    <row r="9" spans="1:49" x14ac:dyDescent="0.25">
      <c r="A9" s="633"/>
      <c r="B9" s="636"/>
      <c r="C9" s="636" t="s">
        <v>483</v>
      </c>
      <c r="D9" s="633"/>
      <c r="E9" s="633"/>
      <c r="F9" s="634"/>
      <c r="G9" s="634"/>
      <c r="H9" s="634"/>
      <c r="I9" s="633"/>
      <c r="J9" s="635"/>
      <c r="K9" s="633"/>
      <c r="L9" s="633"/>
      <c r="M9" s="633"/>
      <c r="N9" s="633"/>
      <c r="O9" s="633"/>
      <c r="P9" s="633"/>
      <c r="Q9" s="633"/>
      <c r="R9" s="633"/>
      <c r="S9" s="633"/>
      <c r="T9" s="633"/>
      <c r="U9" s="633"/>
      <c r="V9" s="633"/>
      <c r="W9" s="634"/>
      <c r="X9" s="635"/>
      <c r="Y9" s="635"/>
      <c r="Z9" s="633"/>
      <c r="AA9" s="633"/>
      <c r="AB9" s="633"/>
      <c r="AC9" s="633"/>
      <c r="AD9" s="633"/>
      <c r="AE9" s="633"/>
      <c r="AF9" s="633"/>
      <c r="AG9" s="633"/>
      <c r="AH9" s="633"/>
      <c r="AI9" s="633"/>
      <c r="AJ9" s="633"/>
      <c r="AK9" s="633"/>
      <c r="AL9" s="633"/>
      <c r="AM9" s="633"/>
      <c r="AN9" s="633"/>
      <c r="AO9" s="633"/>
      <c r="AP9" s="633"/>
      <c r="AQ9" s="633"/>
      <c r="AR9" s="633"/>
      <c r="AS9" s="633"/>
      <c r="AT9" s="633"/>
      <c r="AU9" s="633"/>
      <c r="AV9" s="633"/>
      <c r="AW9" s="109"/>
    </row>
    <row r="10" spans="1:49" x14ac:dyDescent="0.25">
      <c r="A10" s="633"/>
      <c r="B10" s="636"/>
      <c r="C10" s="636" t="s">
        <v>484</v>
      </c>
      <c r="D10" s="633"/>
      <c r="E10" s="633"/>
      <c r="F10" s="634"/>
      <c r="G10" s="634"/>
      <c r="H10" s="634"/>
      <c r="I10" s="633"/>
      <c r="J10" s="635"/>
      <c r="K10" s="633"/>
      <c r="L10" s="633"/>
      <c r="M10" s="633"/>
      <c r="N10" s="633"/>
      <c r="O10" s="633"/>
      <c r="P10" s="633"/>
      <c r="Q10" s="633"/>
      <c r="R10" s="633"/>
      <c r="S10" s="633"/>
      <c r="T10" s="633"/>
      <c r="U10" s="633"/>
      <c r="V10" s="633"/>
      <c r="W10" s="634"/>
      <c r="X10" s="635"/>
      <c r="Y10" s="635"/>
      <c r="Z10" s="633"/>
      <c r="AA10" s="633"/>
      <c r="AB10" s="633"/>
      <c r="AC10" s="633"/>
      <c r="AD10" s="633"/>
      <c r="AE10" s="633"/>
      <c r="AF10" s="633"/>
      <c r="AG10" s="633"/>
      <c r="AH10" s="633"/>
      <c r="AI10" s="633"/>
      <c r="AJ10" s="633"/>
      <c r="AK10" s="633"/>
      <c r="AL10" s="633"/>
      <c r="AM10" s="633"/>
      <c r="AN10" s="633"/>
      <c r="AO10" s="633"/>
      <c r="AP10" s="633"/>
      <c r="AQ10" s="633"/>
      <c r="AR10" s="633"/>
      <c r="AS10" s="633"/>
      <c r="AT10" s="633"/>
      <c r="AU10" s="633"/>
      <c r="AV10" s="633"/>
      <c r="AW10" s="109"/>
    </row>
    <row r="11" spans="1:49" x14ac:dyDescent="0.25">
      <c r="A11" s="633"/>
      <c r="B11" s="636" t="s">
        <v>488</v>
      </c>
      <c r="C11" s="636"/>
      <c r="D11" s="633"/>
      <c r="E11" s="633"/>
      <c r="F11" s="634"/>
      <c r="G11" s="634"/>
      <c r="H11" s="634"/>
      <c r="I11" s="633"/>
      <c r="J11" s="635"/>
      <c r="K11" s="633"/>
      <c r="L11" s="633"/>
      <c r="M11" s="633"/>
      <c r="N11" s="633"/>
      <c r="O11" s="633"/>
      <c r="P11" s="633"/>
      <c r="Q11" s="633"/>
      <c r="R11" s="633"/>
      <c r="S11" s="633"/>
      <c r="T11" s="633"/>
      <c r="U11" s="633"/>
      <c r="V11" s="633"/>
      <c r="W11" s="634"/>
      <c r="X11" s="635"/>
      <c r="Y11" s="635"/>
      <c r="Z11" s="633"/>
      <c r="AA11" s="633"/>
      <c r="AB11" s="633"/>
      <c r="AC11" s="633"/>
      <c r="AD11" s="633"/>
      <c r="AE11" s="633"/>
      <c r="AF11" s="633"/>
      <c r="AG11" s="633"/>
      <c r="AH11" s="633"/>
      <c r="AI11" s="633"/>
      <c r="AJ11" s="633"/>
      <c r="AK11" s="633"/>
      <c r="AL11" s="633"/>
      <c r="AM11" s="633"/>
      <c r="AN11" s="633"/>
      <c r="AO11" s="633"/>
      <c r="AP11" s="633"/>
      <c r="AQ11" s="633"/>
      <c r="AR11" s="633"/>
      <c r="AS11" s="633"/>
      <c r="AT11" s="633"/>
      <c r="AU11" s="633"/>
      <c r="AV11" s="633"/>
      <c r="AW11" s="109"/>
    </row>
    <row r="12" spans="1:49" x14ac:dyDescent="0.25">
      <c r="A12" s="633"/>
      <c r="B12" s="633"/>
      <c r="C12" s="633"/>
      <c r="D12" s="633"/>
      <c r="E12" s="633"/>
      <c r="F12" s="634"/>
      <c r="G12" s="634"/>
      <c r="H12" s="634"/>
      <c r="I12" s="633"/>
      <c r="J12" s="635"/>
      <c r="K12" s="633"/>
      <c r="L12" s="633"/>
      <c r="M12" s="633"/>
      <c r="N12" s="633"/>
      <c r="O12" s="633"/>
      <c r="P12" s="633"/>
      <c r="Q12" s="633"/>
      <c r="R12" s="633"/>
      <c r="S12" s="633"/>
      <c r="T12" s="633"/>
      <c r="U12" s="633"/>
      <c r="V12" s="633"/>
      <c r="W12" s="634"/>
      <c r="X12" s="635"/>
      <c r="Y12" s="635"/>
      <c r="Z12" s="633"/>
      <c r="AA12" s="633"/>
      <c r="AB12" s="633"/>
      <c r="AC12" s="633"/>
      <c r="AD12" s="633"/>
      <c r="AE12" s="633"/>
      <c r="AF12" s="633"/>
      <c r="AG12" s="633"/>
      <c r="AH12" s="633"/>
      <c r="AI12" s="633"/>
      <c r="AJ12" s="633"/>
      <c r="AK12" s="633"/>
      <c r="AL12" s="633"/>
      <c r="AM12" s="633"/>
      <c r="AN12" s="633"/>
      <c r="AO12" s="633"/>
      <c r="AP12" s="633"/>
      <c r="AQ12" s="633"/>
      <c r="AR12" s="633"/>
      <c r="AS12" s="633"/>
      <c r="AT12" s="633"/>
      <c r="AU12" s="633"/>
      <c r="AV12" s="633"/>
      <c r="AW12" s="109"/>
    </row>
    <row r="13" spans="1:49" x14ac:dyDescent="0.25">
      <c r="A13" s="17"/>
      <c r="B13" s="43"/>
      <c r="C13" s="43"/>
      <c r="D13" s="43"/>
      <c r="E13" s="43"/>
      <c r="F13" s="122"/>
      <c r="G13" s="632"/>
      <c r="H13" s="44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122"/>
      <c r="T13" s="632"/>
      <c r="U13" s="44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17"/>
      <c r="AW13" s="109"/>
    </row>
    <row r="14" spans="1:49" ht="18" x14ac:dyDescent="0.25">
      <c r="A14" s="17"/>
      <c r="B14" s="8" t="s">
        <v>66</v>
      </c>
      <c r="C14" s="5"/>
      <c r="D14" s="5"/>
      <c r="E14" s="5"/>
      <c r="F14" s="122"/>
      <c r="G14" s="632"/>
      <c r="H14" s="44"/>
      <c r="I14" s="8" t="s">
        <v>487</v>
      </c>
      <c r="J14" s="4"/>
      <c r="K14" s="4"/>
      <c r="L14" s="4"/>
      <c r="M14" s="4"/>
      <c r="N14" s="4"/>
      <c r="O14" s="4"/>
      <c r="P14" s="4"/>
      <c r="Q14" s="4"/>
      <c r="R14" s="4"/>
      <c r="S14" s="650"/>
      <c r="T14" s="632"/>
      <c r="U14" s="6"/>
      <c r="V14" s="8" t="s">
        <v>580</v>
      </c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7"/>
      <c r="AW14" s="109"/>
    </row>
    <row r="15" spans="1:49" ht="15.75" thickBot="1" x14ac:dyDescent="0.3">
      <c r="A15" s="17"/>
      <c r="B15" s="43"/>
      <c r="C15" s="43"/>
      <c r="D15" s="43"/>
      <c r="E15" s="43"/>
      <c r="F15" s="122"/>
      <c r="G15" s="632"/>
      <c r="H15" s="44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122"/>
      <c r="T15" s="632"/>
      <c r="U15" s="6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09"/>
    </row>
    <row r="16" spans="1:49" ht="16.5" thickBot="1" x14ac:dyDescent="0.3">
      <c r="A16" s="17"/>
      <c r="B16" s="45" t="s">
        <v>62</v>
      </c>
      <c r="C16" s="45" t="s">
        <v>63</v>
      </c>
      <c r="D16" s="45" t="s">
        <v>64</v>
      </c>
      <c r="E16" s="45" t="s">
        <v>65</v>
      </c>
      <c r="F16" s="122"/>
      <c r="G16" s="632"/>
      <c r="H16" s="44"/>
      <c r="I16" s="127" t="s">
        <v>162</v>
      </c>
      <c r="J16" s="43"/>
      <c r="K16" s="43"/>
      <c r="L16" s="43"/>
      <c r="M16" s="43"/>
      <c r="N16" s="43"/>
      <c r="O16" s="43"/>
      <c r="P16" s="43"/>
      <c r="Q16" s="43"/>
      <c r="R16" s="43"/>
      <c r="S16" s="122"/>
      <c r="T16" s="632"/>
      <c r="U16" s="6"/>
      <c r="V16" s="127" t="s">
        <v>449</v>
      </c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09"/>
    </row>
    <row r="17" spans="1:49" x14ac:dyDescent="0.25">
      <c r="A17" s="17"/>
      <c r="B17" s="43"/>
      <c r="C17" s="43"/>
      <c r="D17" s="43"/>
      <c r="E17" s="43"/>
      <c r="F17" s="122"/>
      <c r="G17" s="632"/>
      <c r="H17" s="44"/>
      <c r="I17" s="44" t="s">
        <v>227</v>
      </c>
      <c r="J17" s="43"/>
      <c r="K17" s="43"/>
      <c r="L17" s="43"/>
      <c r="M17" s="43"/>
      <c r="N17" s="43"/>
      <c r="O17" s="43"/>
      <c r="P17" s="43"/>
      <c r="Q17" s="43"/>
      <c r="R17" s="43"/>
      <c r="S17" s="122"/>
      <c r="T17" s="632"/>
      <c r="U17" s="6"/>
      <c r="V17" s="6" t="s">
        <v>522</v>
      </c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09"/>
    </row>
    <row r="18" spans="1:49" x14ac:dyDescent="0.25">
      <c r="A18" s="17"/>
      <c r="B18" s="46"/>
      <c r="C18" s="63" t="s">
        <v>19</v>
      </c>
      <c r="D18" s="43"/>
      <c r="E18" s="43"/>
      <c r="F18" s="122"/>
      <c r="G18" s="632"/>
      <c r="H18" s="44"/>
      <c r="I18" s="44" t="s">
        <v>224</v>
      </c>
      <c r="J18" s="43"/>
      <c r="K18" s="43"/>
      <c r="L18" s="43"/>
      <c r="M18" s="43"/>
      <c r="N18" s="43"/>
      <c r="O18" s="43"/>
      <c r="P18" s="43"/>
      <c r="Q18" s="43"/>
      <c r="R18" s="43"/>
      <c r="S18" s="122"/>
      <c r="T18" s="632"/>
      <c r="U18" s="6"/>
      <c r="V18" s="6" t="s">
        <v>512</v>
      </c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09"/>
    </row>
    <row r="19" spans="1:49" ht="15.75" thickBot="1" x14ac:dyDescent="0.3">
      <c r="A19" s="17"/>
      <c r="B19" s="46">
        <v>1</v>
      </c>
      <c r="C19" s="47" t="s">
        <v>3</v>
      </c>
      <c r="D19" s="47" t="s">
        <v>4</v>
      </c>
      <c r="E19" s="1">
        <v>3.5449999999999999</v>
      </c>
      <c r="F19" s="151" t="str">
        <f>IF(ISNUMBER(E19),"","Err")</f>
        <v/>
      </c>
      <c r="G19" s="644"/>
      <c r="H19" s="44"/>
      <c r="I19" s="640" t="s">
        <v>498</v>
      </c>
      <c r="J19" s="43"/>
      <c r="K19" s="43"/>
      <c r="L19" s="43"/>
      <c r="M19" s="43"/>
      <c r="N19" s="43"/>
      <c r="O19" s="43"/>
      <c r="P19" s="43"/>
      <c r="Q19" s="43"/>
      <c r="R19" s="43"/>
      <c r="S19" s="122"/>
      <c r="T19" s="632"/>
      <c r="U19" s="6"/>
      <c r="V19" s="6" t="s">
        <v>490</v>
      </c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09"/>
    </row>
    <row r="20" spans="1:49" ht="15.75" thickBot="1" x14ac:dyDescent="0.3">
      <c r="A20" s="17"/>
      <c r="B20" s="46">
        <v>2</v>
      </c>
      <c r="C20" s="47" t="s">
        <v>5</v>
      </c>
      <c r="D20" s="47" t="s">
        <v>6</v>
      </c>
      <c r="E20" s="1">
        <v>3.927</v>
      </c>
      <c r="F20" s="151" t="str">
        <f>IF(ISNUMBER(E20),"","Err")</f>
        <v/>
      </c>
      <c r="G20" s="644"/>
      <c r="H20" s="44"/>
      <c r="I20" s="640" t="s">
        <v>540</v>
      </c>
      <c r="J20" s="43"/>
      <c r="K20" s="43"/>
      <c r="L20" s="43"/>
      <c r="M20" s="43"/>
      <c r="N20" s="43"/>
      <c r="O20" s="43"/>
      <c r="P20" s="43"/>
      <c r="Q20" s="43"/>
      <c r="R20" s="43"/>
      <c r="S20" s="122"/>
      <c r="T20" s="632"/>
      <c r="U20" s="6"/>
      <c r="V20" s="6" t="s">
        <v>489</v>
      </c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09"/>
    </row>
    <row r="21" spans="1:49" ht="15.75" thickBot="1" x14ac:dyDescent="0.3">
      <c r="A21" s="17"/>
      <c r="B21" s="46">
        <v>3</v>
      </c>
      <c r="C21" s="47" t="s">
        <v>7</v>
      </c>
      <c r="D21" s="47" t="s">
        <v>8</v>
      </c>
      <c r="E21" s="1">
        <v>0.39300000000000002</v>
      </c>
      <c r="F21" s="151" t="str">
        <f>IF(ISNUMBER(E21),"","Err")</f>
        <v/>
      </c>
      <c r="G21" s="644"/>
      <c r="H21" s="44"/>
      <c r="I21" s="44" t="s">
        <v>166</v>
      </c>
      <c r="J21" s="17"/>
      <c r="K21" s="17"/>
      <c r="L21" s="17"/>
      <c r="M21" s="17"/>
      <c r="N21" s="17"/>
      <c r="O21" s="17"/>
      <c r="P21" s="17"/>
      <c r="Q21" s="17"/>
      <c r="R21" s="17"/>
      <c r="S21" s="122"/>
      <c r="T21" s="632"/>
      <c r="U21" s="6"/>
      <c r="V21" s="64"/>
      <c r="W21" s="64"/>
      <c r="X21" s="83"/>
      <c r="Y21" s="83"/>
      <c r="Z21" s="83"/>
      <c r="AA21" s="83"/>
      <c r="AB21" s="83"/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17"/>
      <c r="AW21" s="109"/>
    </row>
    <row r="22" spans="1:49" x14ac:dyDescent="0.25">
      <c r="A22" s="17"/>
      <c r="B22" s="46"/>
      <c r="C22" s="43"/>
      <c r="D22" s="43"/>
      <c r="E22" s="44"/>
      <c r="F22" s="122"/>
      <c r="G22" s="632"/>
      <c r="H22" s="44"/>
      <c r="I22" s="44" t="s">
        <v>541</v>
      </c>
      <c r="J22" s="17"/>
      <c r="K22" s="17"/>
      <c r="L22" s="17"/>
      <c r="M22" s="17"/>
      <c r="N22" s="17"/>
      <c r="O22" s="17"/>
      <c r="P22" s="17"/>
      <c r="Q22" s="17"/>
      <c r="R22" s="17"/>
      <c r="S22" s="122"/>
      <c r="T22" s="632"/>
      <c r="U22" s="6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91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17"/>
      <c r="AW22" s="109"/>
    </row>
    <row r="23" spans="1:49" x14ac:dyDescent="0.25">
      <c r="A23" s="17"/>
      <c r="B23" s="46"/>
      <c r="C23" s="105" t="s">
        <v>20</v>
      </c>
      <c r="D23" s="47"/>
      <c r="E23" s="358"/>
      <c r="F23" s="122"/>
      <c r="G23" s="632"/>
      <c r="H23" s="44"/>
      <c r="I23" s="44" t="s">
        <v>225</v>
      </c>
      <c r="J23" s="17"/>
      <c r="K23" s="17"/>
      <c r="L23" s="17"/>
      <c r="M23" s="17"/>
      <c r="N23" s="17"/>
      <c r="O23" s="17"/>
      <c r="P23" s="17"/>
      <c r="Q23" s="17"/>
      <c r="R23" s="17"/>
      <c r="S23" s="122"/>
      <c r="T23" s="632"/>
      <c r="U23" s="6"/>
      <c r="V23" s="63" t="s">
        <v>450</v>
      </c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43"/>
      <c r="AH23" s="43"/>
      <c r="AI23" s="692"/>
      <c r="AJ23" s="63" t="s">
        <v>451</v>
      </c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09"/>
    </row>
    <row r="24" spans="1:49" ht="15.75" thickBot="1" x14ac:dyDescent="0.3">
      <c r="A24" s="17"/>
      <c r="B24" s="46">
        <v>4</v>
      </c>
      <c r="C24" s="47" t="s">
        <v>9</v>
      </c>
      <c r="D24" s="47" t="s">
        <v>10</v>
      </c>
      <c r="E24" s="1">
        <v>2.4550000000000001</v>
      </c>
      <c r="F24" s="151" t="str">
        <f>IF(ISNUMBER(E24),"","Err")</f>
        <v/>
      </c>
      <c r="G24" s="644"/>
      <c r="H24" s="44"/>
      <c r="I24" s="640" t="s">
        <v>69</v>
      </c>
      <c r="J24" s="17"/>
      <c r="K24" s="17"/>
      <c r="L24" s="17"/>
      <c r="M24" s="17"/>
      <c r="N24" s="17"/>
      <c r="O24" s="17"/>
      <c r="P24" s="17"/>
      <c r="Q24" s="17"/>
      <c r="R24" s="17"/>
      <c r="S24" s="122"/>
      <c r="T24" s="632"/>
      <c r="U24" s="6"/>
      <c r="V24" s="17"/>
      <c r="W24" s="43"/>
      <c r="X24" s="43"/>
      <c r="Y24" s="81" t="s">
        <v>177</v>
      </c>
      <c r="Z24" s="82" t="s">
        <v>178</v>
      </c>
      <c r="AA24" s="53" t="s">
        <v>214</v>
      </c>
      <c r="AB24" s="81" t="s">
        <v>181</v>
      </c>
      <c r="AC24" s="82" t="s">
        <v>182</v>
      </c>
      <c r="AD24" s="53" t="s">
        <v>214</v>
      </c>
      <c r="AE24" s="81" t="s">
        <v>176</v>
      </c>
      <c r="AF24" s="82" t="s">
        <v>182</v>
      </c>
      <c r="AG24" s="43"/>
      <c r="AH24" s="43"/>
      <c r="AI24" s="692"/>
      <c r="AJ24" s="17"/>
      <c r="AK24" s="43"/>
      <c r="AL24" s="43"/>
      <c r="AM24" s="81" t="s">
        <v>185</v>
      </c>
      <c r="AN24" s="82" t="s">
        <v>186</v>
      </c>
      <c r="AO24" s="53" t="s">
        <v>214</v>
      </c>
      <c r="AP24" s="81" t="s">
        <v>181</v>
      </c>
      <c r="AQ24" s="82" t="s">
        <v>182</v>
      </c>
      <c r="AR24" s="53" t="s">
        <v>214</v>
      </c>
      <c r="AS24" s="81" t="s">
        <v>176</v>
      </c>
      <c r="AT24" s="82" t="s">
        <v>182</v>
      </c>
      <c r="AU24" s="17"/>
      <c r="AV24" s="17"/>
      <c r="AW24" s="109"/>
    </row>
    <row r="25" spans="1:49" ht="15.75" thickBot="1" x14ac:dyDescent="0.3">
      <c r="A25" s="17"/>
      <c r="B25" s="46">
        <v>5</v>
      </c>
      <c r="C25" s="47" t="s">
        <v>11</v>
      </c>
      <c r="D25" s="47" t="s">
        <v>12</v>
      </c>
      <c r="E25" s="1">
        <v>1.3540000000000001</v>
      </c>
      <c r="F25" s="151" t="str">
        <f>IF(ISNUMBER(E25),"","Err")</f>
        <v/>
      </c>
      <c r="G25" s="644"/>
      <c r="H25" s="44"/>
      <c r="I25" s="640"/>
      <c r="J25" s="17"/>
      <c r="K25" s="17"/>
      <c r="L25" s="17"/>
      <c r="M25" s="17"/>
      <c r="N25" s="17"/>
      <c r="O25" s="17"/>
      <c r="P25" s="17"/>
      <c r="Q25" s="17"/>
      <c r="R25" s="17"/>
      <c r="S25" s="122"/>
      <c r="T25" s="632"/>
      <c r="U25" s="6"/>
      <c r="V25" s="53" t="str">
        <f>IF(E49=1,"Zф, Ом","Uф, B")</f>
        <v>Uф, B</v>
      </c>
      <c r="W25" s="3">
        <v>6</v>
      </c>
      <c r="X25" s="156" t="str">
        <f>IF(ISNUMBER(W25),"","Err")</f>
        <v/>
      </c>
      <c r="Y25" s="84">
        <f>SQRT(POWER(Y28,2)+POWER(Z28,2))</f>
        <v>0.84018520321707002</v>
      </c>
      <c r="Z25" s="86">
        <f>DEGREES(ATAN(Z28/Y28))</f>
        <v>51.617743541206366</v>
      </c>
      <c r="AA25" s="53" t="s">
        <v>214</v>
      </c>
      <c r="AB25" s="84">
        <f>SQRT(POWER(AB28,2)+POWER(AC28,2))</f>
        <v>1.2</v>
      </c>
      <c r="AC25" s="86">
        <f>DEGREES(ATAN(AC28/AB28))</f>
        <v>59.999999999999993</v>
      </c>
      <c r="AD25" s="53" t="s">
        <v>214</v>
      </c>
      <c r="AE25" s="84">
        <f>IF(E49=2,W25,AB25*E47)</f>
        <v>6</v>
      </c>
      <c r="AF25" s="86">
        <f>IF(E49=2,W26,AC25)</f>
        <v>60</v>
      </c>
      <c r="AG25" s="43"/>
      <c r="AH25" s="43"/>
      <c r="AI25" s="692"/>
      <c r="AJ25" s="53" t="str">
        <f>IF(E49=1,"Zф, Ом","Uф, B")</f>
        <v>Uф, B</v>
      </c>
      <c r="AK25" s="1">
        <v>6</v>
      </c>
      <c r="AL25" s="156" t="str">
        <f>IF(ISNUMBER(AK25),"","Err")</f>
        <v/>
      </c>
      <c r="AM25" s="84">
        <f>SQRT(POWER(AM28,2)+POWER(AN28,2))</f>
        <v>0.9805752318498735</v>
      </c>
      <c r="AN25" s="85">
        <f>DEGREES(ATAN(AN28/AM28))</f>
        <v>55.308416305933747</v>
      </c>
      <c r="AO25" s="53" t="s">
        <v>214</v>
      </c>
      <c r="AP25" s="84">
        <f>SQRT(POWER(AP28,2)+POWER(AQ28,2))</f>
        <v>1.2</v>
      </c>
      <c r="AQ25" s="86">
        <f>DEGREES(ATAN(AQ28/AP28))</f>
        <v>59.999999999999993</v>
      </c>
      <c r="AR25" s="53" t="s">
        <v>214</v>
      </c>
      <c r="AS25" s="84">
        <f>IF(E49=2,AK25,AP25*E47)</f>
        <v>6</v>
      </c>
      <c r="AT25" s="86">
        <f>IF(E56=2,AK26,AQ25)</f>
        <v>59.999999999999993</v>
      </c>
      <c r="AU25" s="17"/>
      <c r="AV25" s="17"/>
      <c r="AW25" s="109"/>
    </row>
    <row r="26" spans="1:49" ht="15.75" thickBot="1" x14ac:dyDescent="0.3">
      <c r="A26" s="17"/>
      <c r="B26" s="46">
        <v>6</v>
      </c>
      <c r="C26" s="47" t="s">
        <v>429</v>
      </c>
      <c r="D26" s="47" t="s">
        <v>428</v>
      </c>
      <c r="E26" s="1">
        <v>12.5</v>
      </c>
      <c r="F26" s="151" t="str">
        <f>IF(ISNUMBER(E26),IF(AND(E26&gt;=5,E26&lt;=25),"","Err"),"Err")</f>
        <v/>
      </c>
      <c r="G26" s="644"/>
      <c r="H26" s="641" t="s">
        <v>320</v>
      </c>
      <c r="I26" s="642" t="s">
        <v>446</v>
      </c>
      <c r="J26" s="17"/>
      <c r="K26" s="17"/>
      <c r="L26" s="17"/>
      <c r="M26" s="17"/>
      <c r="N26" s="17"/>
      <c r="O26" s="17"/>
      <c r="P26" s="17"/>
      <c r="Q26" s="17"/>
      <c r="R26" s="17"/>
      <c r="S26" s="122"/>
      <c r="T26" s="632"/>
      <c r="U26" s="6"/>
      <c r="V26" s="53" t="s">
        <v>182</v>
      </c>
      <c r="W26" s="3">
        <v>60</v>
      </c>
      <c r="X26" s="156" t="str">
        <f>IF(ISNUMBER(W26),"","Err")</f>
        <v/>
      </c>
      <c r="Y26" s="43"/>
      <c r="Z26" s="43"/>
      <c r="AA26" s="53" t="s">
        <v>214</v>
      </c>
      <c r="AB26" s="43"/>
      <c r="AC26" s="43"/>
      <c r="AD26" s="53" t="s">
        <v>214</v>
      </c>
      <c r="AE26" s="43"/>
      <c r="AF26" s="43"/>
      <c r="AG26" s="43"/>
      <c r="AH26" s="43"/>
      <c r="AI26" s="692"/>
      <c r="AJ26" s="53" t="s">
        <v>182</v>
      </c>
      <c r="AK26" s="3">
        <v>60</v>
      </c>
      <c r="AL26" s="156" t="str">
        <f>IF(ISNUMBER(AK26),"","Err")</f>
        <v/>
      </c>
      <c r="AM26" s="43"/>
      <c r="AN26" s="43"/>
      <c r="AO26" s="53" t="s">
        <v>214</v>
      </c>
      <c r="AP26" s="43"/>
      <c r="AQ26" s="43"/>
      <c r="AR26" s="53" t="s">
        <v>214</v>
      </c>
      <c r="AS26" s="43"/>
      <c r="AT26" s="43"/>
      <c r="AU26" s="17"/>
      <c r="AV26" s="17"/>
      <c r="AW26" s="109"/>
    </row>
    <row r="27" spans="1:49" ht="15.75" thickBot="1" x14ac:dyDescent="0.3">
      <c r="A27" s="17"/>
      <c r="B27" s="46">
        <v>7</v>
      </c>
      <c r="C27" s="47" t="s">
        <v>14</v>
      </c>
      <c r="D27" s="47" t="s">
        <v>13</v>
      </c>
      <c r="E27" s="1">
        <v>0.5</v>
      </c>
      <c r="F27" s="151" t="str">
        <f>IF(ISNUMBER(E27),"","Err")</f>
        <v/>
      </c>
      <c r="G27" s="644"/>
      <c r="H27" s="649"/>
      <c r="I27" s="642" t="s">
        <v>447</v>
      </c>
      <c r="J27" s="17"/>
      <c r="K27" s="17"/>
      <c r="L27" s="17"/>
      <c r="M27" s="17"/>
      <c r="N27" s="17"/>
      <c r="O27" s="17"/>
      <c r="P27" s="17"/>
      <c r="Q27" s="17"/>
      <c r="R27" s="17"/>
      <c r="S27" s="122"/>
      <c r="T27" s="632"/>
      <c r="U27" s="44"/>
      <c r="V27" s="17"/>
      <c r="W27" s="399"/>
      <c r="X27" s="43"/>
      <c r="Y27" s="81" t="s">
        <v>179</v>
      </c>
      <c r="Z27" s="82" t="s">
        <v>180</v>
      </c>
      <c r="AA27" s="53" t="s">
        <v>214</v>
      </c>
      <c r="AB27" s="81" t="s">
        <v>183</v>
      </c>
      <c r="AC27" s="82" t="s">
        <v>184</v>
      </c>
      <c r="AD27" s="53" t="s">
        <v>214</v>
      </c>
      <c r="AE27" s="81" t="s">
        <v>213</v>
      </c>
      <c r="AF27" s="82" t="s">
        <v>182</v>
      </c>
      <c r="AG27" s="43"/>
      <c r="AH27" s="43"/>
      <c r="AI27" s="692"/>
      <c r="AJ27" s="43"/>
      <c r="AK27" s="353"/>
      <c r="AL27" s="43"/>
      <c r="AM27" s="81" t="s">
        <v>187</v>
      </c>
      <c r="AN27" s="82" t="s">
        <v>188</v>
      </c>
      <c r="AO27" s="53" t="s">
        <v>214</v>
      </c>
      <c r="AP27" s="81" t="s">
        <v>183</v>
      </c>
      <c r="AQ27" s="82" t="s">
        <v>184</v>
      </c>
      <c r="AR27" s="53" t="s">
        <v>214</v>
      </c>
      <c r="AS27" s="81" t="s">
        <v>213</v>
      </c>
      <c r="AT27" s="82" t="s">
        <v>182</v>
      </c>
      <c r="AU27" s="17"/>
      <c r="AV27" s="17"/>
      <c r="AW27" s="109"/>
    </row>
    <row r="28" spans="1:49" x14ac:dyDescent="0.25">
      <c r="A28" s="17"/>
      <c r="B28" s="46"/>
      <c r="C28" s="43"/>
      <c r="D28" s="43"/>
      <c r="E28" s="43"/>
      <c r="F28" s="122"/>
      <c r="G28" s="632"/>
      <c r="H28" s="641" t="s">
        <v>320</v>
      </c>
      <c r="I28" s="642" t="s">
        <v>413</v>
      </c>
      <c r="J28" s="325"/>
      <c r="K28" s="325"/>
      <c r="L28" s="325"/>
      <c r="M28" s="325"/>
      <c r="N28" s="325"/>
      <c r="O28" s="325"/>
      <c r="P28" s="325"/>
      <c r="Q28" s="325"/>
      <c r="R28" s="325"/>
      <c r="S28" s="651"/>
      <c r="T28" s="652"/>
      <c r="U28" s="44"/>
      <c r="V28" s="44"/>
      <c r="W28" s="44"/>
      <c r="X28" s="17"/>
      <c r="Y28" s="84">
        <f>(W25*IF(E49=1,E47,1)*IF(OR(AND(W26&gt;90,W26&lt;270),AND(W26&gt;-270,W26&lt;-90)),-1,1)/SQRT(1+POWER(TAN(RADIANS(W26)),2))/(E47+E47*E51))</f>
        <v>0.52167523879500377</v>
      </c>
      <c r="Z28" s="86">
        <f>ABS(W25*IF(E49=1,E47,1)*TAN(RADIANS(W26))/SQRT(1+POWER(TAN(RADIANS(W26)),2))/(E47+E47*E52))*IF(OR(AND(W26&gt;180,W26&lt;360),AND(W26&gt;-180,W26&lt;0)),-1,1)</f>
        <v>0.65860923234728885</v>
      </c>
      <c r="AA28" s="53" t="s">
        <v>214</v>
      </c>
      <c r="AB28" s="84">
        <f>(W25*IF(E49=1,E47,1)/E47)*COS(RADIANS(W26))</f>
        <v>0.60000000000000009</v>
      </c>
      <c r="AC28" s="86">
        <f>ABS((W25*IF(E49=1,E47,1)/E47)*SIN(RADIANS(W26)))*IF(OR(AND(W26&gt;180,W26&lt;360),AND(W26&gt;-180,W26&lt;0)),-1,1)</f>
        <v>1.0392304845413263</v>
      </c>
      <c r="AD28" s="53" t="s">
        <v>214</v>
      </c>
      <c r="AE28" s="84">
        <f>E47</f>
        <v>5</v>
      </c>
      <c r="AF28" s="86">
        <v>0</v>
      </c>
      <c r="AG28" s="17"/>
      <c r="AH28" s="17"/>
      <c r="AI28" s="692"/>
      <c r="AJ28" s="17"/>
      <c r="AK28" s="17"/>
      <c r="AL28" s="17"/>
      <c r="AM28" s="84">
        <f>(AK25*IF(E49=1,E47,1)*IF(OR(AND(AK26&gt;90,AK26&lt;270),AND(AK26&gt;-270,AK26&lt;-90)),-1,1)/SQRT(1+POWER(TAN(RADIANS(AK26)),2))/(E47+E47*E51*E27))</f>
        <v>0.55810297392899266</v>
      </c>
      <c r="AN28" s="86">
        <f>ABS(AK25*IF(E49=1,E47,1)*TAN(RADIANS(AK26))/SQRT(1+POWER(TAN(RADIANS(AK26)),2))/(E47+E47*E52*E27))*IF(OR(AND(AK26&gt;180,AK26&lt;360),AND(AK26&gt;-180,AK26&lt;0)),-1,1)</f>
        <v>0.80625607334707705</v>
      </c>
      <c r="AO28" s="53" t="s">
        <v>214</v>
      </c>
      <c r="AP28" s="84">
        <f>(AK25*IF(E49=1,E47,1)/E47)*COS(RADIANS(AK26))</f>
        <v>0.60000000000000009</v>
      </c>
      <c r="AQ28" s="86">
        <f>ABS((AK25*IF(E49=1,E47,1)/E47)*SIN(RADIANS(AK26)))*IF(OR(AND(AK26&gt;180,AK26&lt;360),AND(AK26&gt;-180,AK26&lt;0)),-1,1)</f>
        <v>1.0392304845413263</v>
      </c>
      <c r="AR28" s="53" t="s">
        <v>214</v>
      </c>
      <c r="AS28" s="84">
        <f>E47</f>
        <v>5</v>
      </c>
      <c r="AT28" s="86">
        <v>0</v>
      </c>
      <c r="AU28" s="17"/>
      <c r="AV28" s="17"/>
      <c r="AW28" s="109"/>
    </row>
    <row r="29" spans="1:49" ht="15.75" thickBot="1" x14ac:dyDescent="0.3">
      <c r="A29" s="166"/>
      <c r="B29" s="46">
        <v>8</v>
      </c>
      <c r="C29" s="44" t="s">
        <v>81</v>
      </c>
      <c r="D29" s="44" t="s">
        <v>22</v>
      </c>
      <c r="E29" s="1">
        <v>0</v>
      </c>
      <c r="F29" s="151" t="str">
        <f>IF(ISNUMBER(E29),"","Err")</f>
        <v/>
      </c>
      <c r="G29" s="644"/>
      <c r="H29" s="326"/>
      <c r="I29" s="642" t="s">
        <v>502</v>
      </c>
      <c r="J29" s="325"/>
      <c r="K29" s="325"/>
      <c r="L29" s="325"/>
      <c r="M29" s="325"/>
      <c r="N29" s="325"/>
      <c r="O29" s="325"/>
      <c r="P29" s="325"/>
      <c r="Q29" s="325"/>
      <c r="R29" s="325"/>
      <c r="S29" s="651"/>
      <c r="T29" s="652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691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7"/>
      <c r="AV29" s="17"/>
      <c r="AW29" s="109"/>
    </row>
    <row r="30" spans="1:49" ht="15.75" x14ac:dyDescent="0.25">
      <c r="A30" s="166"/>
      <c r="B30" s="166"/>
      <c r="C30" s="166"/>
      <c r="D30" s="44"/>
      <c r="E30" s="43"/>
      <c r="F30" s="122"/>
      <c r="G30" s="632"/>
      <c r="H30" s="326"/>
      <c r="I30" s="642" t="s">
        <v>542</v>
      </c>
      <c r="J30" s="325"/>
      <c r="K30" s="325"/>
      <c r="L30" s="325"/>
      <c r="M30" s="325"/>
      <c r="N30" s="325"/>
      <c r="O30" s="325"/>
      <c r="P30" s="325"/>
      <c r="Q30" s="325"/>
      <c r="R30" s="325"/>
      <c r="S30" s="651"/>
      <c r="T30" s="652"/>
      <c r="U30" s="17"/>
      <c r="V30" s="742" t="s">
        <v>516</v>
      </c>
      <c r="W30" s="742"/>
      <c r="X30" s="638" t="str">
        <f>IF(W38,"область срабатывания","")</f>
        <v>область срабатывания</v>
      </c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691"/>
      <c r="AJ30" s="742" t="s">
        <v>517</v>
      </c>
      <c r="AK30" s="742"/>
      <c r="AL30" s="638" t="str">
        <f>IF(W67,"область срабатывания","")</f>
        <v>область срабатывания</v>
      </c>
      <c r="AM30" s="166"/>
      <c r="AN30" s="166"/>
      <c r="AO30" s="166"/>
      <c r="AP30" s="166"/>
      <c r="AQ30" s="166"/>
      <c r="AR30" s="166"/>
      <c r="AS30" s="166"/>
      <c r="AT30" s="166"/>
      <c r="AU30" s="17"/>
      <c r="AV30" s="17"/>
      <c r="AW30" s="109"/>
    </row>
    <row r="31" spans="1:49" ht="15.75" x14ac:dyDescent="0.25">
      <c r="A31" s="166"/>
      <c r="B31" s="166"/>
      <c r="C31" s="470" t="s">
        <v>425</v>
      </c>
      <c r="D31" s="44"/>
      <c r="E31" s="43"/>
      <c r="F31" s="122"/>
      <c r="G31" s="632"/>
      <c r="H31" s="44"/>
      <c r="I31" s="643" t="s">
        <v>504</v>
      </c>
      <c r="J31" s="325"/>
      <c r="K31" s="325"/>
      <c r="L31" s="325"/>
      <c r="M31" s="325"/>
      <c r="N31" s="325"/>
      <c r="O31" s="325"/>
      <c r="P31" s="325"/>
      <c r="Q31" s="325"/>
      <c r="R31" s="325"/>
      <c r="S31" s="651"/>
      <c r="T31" s="652"/>
      <c r="U31" s="17"/>
      <c r="V31" s="742"/>
      <c r="W31" s="742"/>
      <c r="X31" s="639" t="str">
        <f>IF(W38,"","область не срабатывания")</f>
        <v/>
      </c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691"/>
      <c r="AJ31" s="742"/>
      <c r="AK31" s="742"/>
      <c r="AL31" s="639" t="str">
        <f>IF(W67,"","область не срабатывания")</f>
        <v/>
      </c>
      <c r="AM31" s="166"/>
      <c r="AN31" s="166"/>
      <c r="AO31" s="166"/>
      <c r="AP31" s="166"/>
      <c r="AQ31" s="166"/>
      <c r="AR31" s="166"/>
      <c r="AS31" s="166"/>
      <c r="AT31" s="166"/>
      <c r="AU31" s="17"/>
      <c r="AV31" s="17"/>
      <c r="AW31" s="109"/>
    </row>
    <row r="32" spans="1:49" ht="15.75" thickBot="1" x14ac:dyDescent="0.3">
      <c r="A32" s="166"/>
      <c r="B32" s="46">
        <v>9</v>
      </c>
      <c r="C32" s="337" t="s">
        <v>77</v>
      </c>
      <c r="D32" s="337" t="s">
        <v>15</v>
      </c>
      <c r="E32" s="2">
        <v>2.24E-2</v>
      </c>
      <c r="F32" s="151" t="str">
        <f t="shared" ref="F32:F37" si="0">IF(ISNUMBER(E32),"","Err")</f>
        <v/>
      </c>
      <c r="G32" s="644"/>
      <c r="H32" s="44"/>
      <c r="I32" s="642" t="s">
        <v>505</v>
      </c>
      <c r="J32" s="325"/>
      <c r="K32" s="325"/>
      <c r="L32" s="325"/>
      <c r="M32" s="325"/>
      <c r="N32" s="325"/>
      <c r="O32" s="325"/>
      <c r="P32" s="325"/>
      <c r="Q32" s="325"/>
      <c r="R32" s="325"/>
      <c r="S32" s="651"/>
      <c r="T32" s="652"/>
      <c r="U32" s="44"/>
      <c r="V32" s="64"/>
      <c r="W32" s="64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692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83"/>
      <c r="AV32" s="64"/>
      <c r="AW32" s="109"/>
    </row>
    <row r="33" spans="1:49" ht="15.75" thickBot="1" x14ac:dyDescent="0.3">
      <c r="A33" s="166"/>
      <c r="B33" s="46">
        <v>10</v>
      </c>
      <c r="C33" s="337" t="s">
        <v>78</v>
      </c>
      <c r="D33" s="337" t="s">
        <v>16</v>
      </c>
      <c r="E33" s="2">
        <v>7.1000000000000004E-3</v>
      </c>
      <c r="F33" s="151" t="str">
        <f t="shared" si="0"/>
        <v/>
      </c>
      <c r="G33" s="644"/>
      <c r="H33" s="687" t="s">
        <v>320</v>
      </c>
      <c r="I33" s="642" t="s">
        <v>583</v>
      </c>
      <c r="J33" s="325"/>
      <c r="K33" s="325"/>
      <c r="L33" s="325"/>
      <c r="M33" s="325"/>
      <c r="N33" s="325"/>
      <c r="O33" s="325"/>
      <c r="P33" s="325"/>
      <c r="Q33" s="325"/>
      <c r="R33" s="325"/>
      <c r="S33" s="651"/>
      <c r="T33" s="652"/>
      <c r="U33" s="6"/>
      <c r="V33" s="166"/>
      <c r="W33" s="166"/>
      <c r="X33" s="166"/>
      <c r="Y33" s="166"/>
      <c r="Z33" s="166"/>
      <c r="AA33" s="166"/>
      <c r="AB33" s="166"/>
      <c r="AC33" s="166"/>
      <c r="AD33" s="166"/>
      <c r="AE33" s="166"/>
      <c r="AF33" s="166"/>
      <c r="AG33" s="166"/>
      <c r="AH33" s="166"/>
      <c r="AI33" s="693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09"/>
    </row>
    <row r="34" spans="1:49" ht="15.75" thickBot="1" x14ac:dyDescent="0.3">
      <c r="A34" s="166"/>
      <c r="B34" s="46">
        <v>11</v>
      </c>
      <c r="C34" s="337" t="s">
        <v>79</v>
      </c>
      <c r="D34" s="337" t="s">
        <v>17</v>
      </c>
      <c r="E34" s="2">
        <v>7.3499999999999996E-2</v>
      </c>
      <c r="F34" s="151" t="str">
        <f t="shared" si="0"/>
        <v/>
      </c>
      <c r="G34" s="644"/>
      <c r="H34" s="326"/>
      <c r="I34" s="642" t="s">
        <v>586</v>
      </c>
      <c r="J34" s="325"/>
      <c r="K34" s="325"/>
      <c r="L34" s="325"/>
      <c r="M34" s="325"/>
      <c r="N34" s="325"/>
      <c r="O34" s="325"/>
      <c r="P34" s="325"/>
      <c r="Q34" s="325"/>
      <c r="R34" s="325"/>
      <c r="S34" s="651"/>
      <c r="T34" s="632"/>
      <c r="U34" s="44"/>
      <c r="V34" s="361" t="s">
        <v>290</v>
      </c>
      <c r="W34" s="363" t="s">
        <v>100</v>
      </c>
      <c r="X34" s="361" t="s">
        <v>101</v>
      </c>
      <c r="Y34" s="166"/>
      <c r="Z34" s="44" t="s">
        <v>33</v>
      </c>
      <c r="AA34" s="358">
        <v>1</v>
      </c>
      <c r="AB34" s="358">
        <v>2</v>
      </c>
      <c r="AC34" s="358">
        <v>3</v>
      </c>
      <c r="AD34" s="358">
        <v>4</v>
      </c>
      <c r="AE34" s="358">
        <v>5</v>
      </c>
      <c r="AF34" s="358">
        <v>6</v>
      </c>
      <c r="AG34" s="358">
        <v>7</v>
      </c>
      <c r="AH34" s="358"/>
      <c r="AI34" s="693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09"/>
    </row>
    <row r="35" spans="1:49" ht="15.75" thickBot="1" x14ac:dyDescent="0.3">
      <c r="A35" s="166"/>
      <c r="B35" s="46">
        <v>12</v>
      </c>
      <c r="C35" s="337" t="s">
        <v>80</v>
      </c>
      <c r="D35" s="337" t="s">
        <v>18</v>
      </c>
      <c r="E35" s="2">
        <v>1.5299999999999999E-2</v>
      </c>
      <c r="F35" s="151" t="str">
        <f t="shared" si="0"/>
        <v/>
      </c>
      <c r="G35" s="644"/>
      <c r="H35" s="326"/>
      <c r="I35" s="325"/>
      <c r="J35" s="325"/>
      <c r="K35" s="325"/>
      <c r="L35" s="325"/>
      <c r="M35" s="325"/>
      <c r="N35" s="325"/>
      <c r="O35" s="325"/>
      <c r="P35" s="325"/>
      <c r="Q35" s="325"/>
      <c r="R35" s="325"/>
      <c r="S35" s="651"/>
      <c r="T35" s="632"/>
      <c r="U35" s="44"/>
      <c r="V35" s="370" t="s">
        <v>289</v>
      </c>
      <c r="W35" s="371">
        <f>AB28</f>
        <v>0.60000000000000009</v>
      </c>
      <c r="X35" s="372">
        <f>AC28</f>
        <v>1.0392304845413263</v>
      </c>
      <c r="Y35" s="166"/>
      <c r="Z35" s="44" t="s">
        <v>190</v>
      </c>
      <c r="AA35" s="386">
        <v>0</v>
      </c>
      <c r="AB35" s="384">
        <f>E19+AB36/(TAN(RADIANS(W46)))</f>
        <v>3.6695669642857141</v>
      </c>
      <c r="AC35" s="384">
        <f>E19+AC36/(TAN(RADIANS(W46)))</f>
        <v>4.7897187500000005</v>
      </c>
      <c r="AD35" s="384">
        <f>IF((E20/TAN(RADIANS(W46)))-E19&gt;=E20/TAN(RADIANS(W47)),(E20/TAN(RADIANS(W46)))-E19,E20/TAN(RADIANS(W47)))</f>
        <v>-1.8311901735746787</v>
      </c>
      <c r="AE35" s="384">
        <f>IF(TAN(RADIANS(W46))*E19/(TAN(RADIANS(W47))-TAN(RADIANS(W46)))&gt;=E20/TAN(RADIANS(W47)),TAN(RADIANS(W46))*E19/(TAN(RADIANS(W47))-TAN(RADIANS(W46))),E20/TAN(RADIANS(W47)))</f>
        <v>-1.8311901735746787</v>
      </c>
      <c r="AF35" s="384">
        <f>AF36/TAN(RADIANS(W47))</f>
        <v>-0.18325890965491437</v>
      </c>
      <c r="AG35" s="400">
        <v>0</v>
      </c>
      <c r="AH35" s="388"/>
      <c r="AI35" s="693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09"/>
    </row>
    <row r="36" spans="1:49" ht="15.75" thickBot="1" x14ac:dyDescent="0.3">
      <c r="A36" s="17"/>
      <c r="B36" s="46">
        <v>13</v>
      </c>
      <c r="C36" s="47" t="s">
        <v>442</v>
      </c>
      <c r="D36" s="47" t="s">
        <v>440</v>
      </c>
      <c r="E36" s="2">
        <v>8.9899999999999994E-2</v>
      </c>
      <c r="F36" s="151" t="str">
        <f t="shared" si="0"/>
        <v/>
      </c>
      <c r="G36" s="644"/>
      <c r="H36" s="44"/>
      <c r="I36" s="55" t="s">
        <v>30</v>
      </c>
      <c r="J36" s="55"/>
      <c r="K36" s="187" t="s">
        <v>73</v>
      </c>
      <c r="L36" s="164"/>
      <c r="M36" s="55" t="s">
        <v>31</v>
      </c>
      <c r="N36" s="55" t="s">
        <v>32</v>
      </c>
      <c r="O36" s="55"/>
      <c r="P36" s="163"/>
      <c r="Q36" s="59" t="s">
        <v>43</v>
      </c>
      <c r="R36" s="164"/>
      <c r="S36" s="122"/>
      <c r="T36" s="632"/>
      <c r="U36" s="44"/>
      <c r="V36" s="367" t="s">
        <v>286</v>
      </c>
      <c r="W36" s="376">
        <f>IF(AND(W35&gt;=(X35/TAN(RADIANS(X46))-((X45/TAN(RADIANS(X46)))-(X45/TAN(RADIANS(X47))))),W35&lt;=(X43+X35/TAN(RADIANS(X46)))),1,0)</f>
        <v>1</v>
      </c>
      <c r="X36" s="369">
        <f>IF(AND(X35&gt;=X45,X35&lt;=X44),1,0)</f>
        <v>1</v>
      </c>
      <c r="Y36" s="166"/>
      <c r="Z36" s="44" t="s">
        <v>191</v>
      </c>
      <c r="AA36" s="387">
        <f>E21</f>
        <v>0.39300000000000002</v>
      </c>
      <c r="AB36" s="385">
        <f>E21</f>
        <v>0.39300000000000002</v>
      </c>
      <c r="AC36" s="385">
        <f>E20</f>
        <v>3.927</v>
      </c>
      <c r="AD36" s="385">
        <f>E20</f>
        <v>3.927</v>
      </c>
      <c r="AE36" s="385">
        <f>AE35*TAN(RADIANS(W47))</f>
        <v>3.927</v>
      </c>
      <c r="AF36" s="385">
        <f>E21</f>
        <v>0.39300000000000002</v>
      </c>
      <c r="AG36" s="401">
        <f>E21</f>
        <v>0.39300000000000002</v>
      </c>
      <c r="AH36" s="388"/>
      <c r="AI36" s="693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09"/>
    </row>
    <row r="37" spans="1:49" ht="15.75" thickBot="1" x14ac:dyDescent="0.3">
      <c r="A37" s="17"/>
      <c r="B37" s="46">
        <v>14</v>
      </c>
      <c r="C37" s="47" t="s">
        <v>443</v>
      </c>
      <c r="D37" s="47" t="s">
        <v>441</v>
      </c>
      <c r="E37" s="2">
        <v>0.24</v>
      </c>
      <c r="F37" s="151" t="str">
        <f t="shared" si="0"/>
        <v/>
      </c>
      <c r="G37" s="644"/>
      <c r="H37" s="44"/>
      <c r="I37" s="133"/>
      <c r="J37" s="133"/>
      <c r="K37" s="134"/>
      <c r="L37" s="134"/>
      <c r="M37" s="133"/>
      <c r="N37" s="134"/>
      <c r="O37" s="134"/>
      <c r="P37" s="134"/>
      <c r="Q37" s="133"/>
      <c r="R37" s="134"/>
      <c r="S37" s="122"/>
      <c r="T37" s="632"/>
      <c r="U37" s="44"/>
      <c r="V37" s="377" t="s">
        <v>287</v>
      </c>
      <c r="W37" s="376">
        <f>IF(AND(W35&gt;=(X35/TAN(RADIANS(X46))-X43),W35&lt;=(X35/TAN(RADIANS(X46))-((X45/TAN(RADIANS(X46)))-(X45/TAN(RADIANS(X47)))))),1,0)</f>
        <v>0</v>
      </c>
      <c r="X37" s="369">
        <f>IF(AND(X35&gt;=(W35*TAN(RADIANS(X47))),X35&lt;=X43),1,0)</f>
        <v>1</v>
      </c>
      <c r="Y37" s="166"/>
      <c r="Z37" s="44" t="s">
        <v>194</v>
      </c>
      <c r="AA37" s="386">
        <f>((SQRT(POWER(AA35*(E47+E47*E51),2)+POWER(AA36*(E47+E47*E52),2)))/E47)*COS(RADIANS(IF(AA35=0,90,DEGREES(ATAN((AA36*(E47+E47*E52))/(AA35*(E47+E47*E51)))))))</f>
        <v>3.798702956467511E-17</v>
      </c>
      <c r="AB37" s="384">
        <f>((SQRT(POWER(AB35*(E47+E47*E51),2)+POWER(AB36*(E47+E47*E52),2)))/E47)*COS(RADIANS(IF(AB35=0,90,DEGREES(ATAN((AB36*(E47+E47*E52))/(AB35*(E47+E47*E51)))))))</f>
        <v>4.2205188493460764</v>
      </c>
      <c r="AC37" s="384">
        <f>((SQRT(POWER(AC35*(E47+E47*E51),2)+POWER(AC36*(E47+E47*E52),2)))/E47)*COS(RADIANS(IF(AC35=0,90,DEGREES(ATAN((AC36*(E47+E47*E52))/(AC35*(E47+E47*E51)))))))</f>
        <v>5.5088511707746477</v>
      </c>
      <c r="AD37" s="384">
        <f>((SQRT(POWER(AD35*(E47+E47*E51),2)+POWER(AD36*(E47+E47*E52),2)))/E47)*COS(RADIANS(IF(AD35=0,90,180+DEGREES(ATAN((AD36*(E47+E47*E52))/(AD35*(E47+E47*E51)))))))</f>
        <v>-2.1061266137198351</v>
      </c>
      <c r="AE37" s="384">
        <f>((SQRT(POWER(AE35*(E47+E47*E51),2)+POWER(AE36*(E47+E47*E52),2)))/E47)*COS(RADIANS(IF(AE35=0,90,180+DEGREES(ATAN((AE36*(E47+E47*E52))/(AE35*(E47+E47*E51)))))))</f>
        <v>-2.1061266137198351</v>
      </c>
      <c r="AF37" s="384">
        <f>((SQRT(POWER(AF35*(E47+E47*E51),2)+POWER(AF36*(E47+E47*E52),2)))/E47)*COS(RADIANS(IF(AF35=0,90,180+DEGREES(ATAN((AF36*(E47+E47*E52))/(AF35*(E47+E47*E51)))))))</f>
        <v>-0.21077355721718743</v>
      </c>
      <c r="AG37" s="400">
        <f>((SQRT(POWER(AG35*(E47+E47*E51),2)+POWER(AG36*(E47+E47*E52),2)))/E47)*COS(RADIANS(IF(AG35=0,90,DEGREES(ATAN((AG36*(E47+E47*E52))/(AG35*(E47+E47*E51)))))))</f>
        <v>3.798702956467511E-17</v>
      </c>
      <c r="AH37" s="388"/>
      <c r="AI37" s="693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09"/>
    </row>
    <row r="38" spans="1:49" ht="15.75" thickBot="1" x14ac:dyDescent="0.3">
      <c r="A38" s="17"/>
      <c r="B38" s="46"/>
      <c r="C38" s="43"/>
      <c r="D38" s="43"/>
      <c r="E38" s="484" t="str">
        <f>IF(OR(E37&gt;0.5,E37&gt;0.5),"Задать MR0 и MX0 минимальное значение.","")</f>
        <v/>
      </c>
      <c r="F38" s="122"/>
      <c r="G38" s="632"/>
      <c r="H38" s="44"/>
      <c r="I38" s="143"/>
      <c r="J38" s="43"/>
      <c r="K38" s="61" t="str">
        <f>IF(E49=1,"Zф, Ом","Uф, B")</f>
        <v>Uф, B</v>
      </c>
      <c r="L38" s="62" t="s">
        <v>199</v>
      </c>
      <c r="M38" s="43"/>
      <c r="N38" s="43"/>
      <c r="O38" s="43"/>
      <c r="P38" s="43"/>
      <c r="Q38" s="43"/>
      <c r="R38" s="43"/>
      <c r="S38" s="122"/>
      <c r="T38" s="644"/>
      <c r="U38" s="44"/>
      <c r="V38" s="377" t="s">
        <v>291</v>
      </c>
      <c r="W38" s="376">
        <f>IF(OR(AND(W36,X36),AND(W37,X37)),1,0)</f>
        <v>1</v>
      </c>
      <c r="X38" s="369"/>
      <c r="Y38" s="166"/>
      <c r="Z38" s="44" t="s">
        <v>195</v>
      </c>
      <c r="AA38" s="387">
        <f>((SQRT(POWER(AA35*(E47+E47*E51),2)+POWER(AA36*(E47+E47*E52),2)))/E47)*SIN(RADIANS(IF(AA35=0,90,DEGREES(ATAN((AA36*(E47+E47*E52))/(AA35*(E47+E47*E51)))))))</f>
        <v>0.62012125000000007</v>
      </c>
      <c r="AB38" s="385">
        <f>((SQRT(POWER(AB35*(E47+E47*E51),2)+POWER(AB36*(E47+E47*E52),2)))/E47)*SIN(RADIANS(IF(AB35=0,90,DEGREES(ATAN((AB36*(E47+E47*E52))/(AB35*(E47+E47*E51)))))))</f>
        <v>0.62012125000000007</v>
      </c>
      <c r="AC38" s="385">
        <f>((SQRT(POWER(AC35*(E47+E47*E51),2)+POWER(AC36*(E47+E47*E52),2)))/E47)*SIN(RADIANS(IF(AC35=0,90,DEGREES(ATAN((AC36*(E47+E47*E52))/(AC35*(E47+E47*E51)))))))</f>
        <v>6.1964787499999998</v>
      </c>
      <c r="AD38" s="385">
        <f>((SQRT(POWER(AD35*(E47+E47*E51),2)+POWER(AD36*(E47+E47*E52),2)))/E47)*SIN(RADIANS(IF(AD35=0,90,180+DEGREES(ATAN((AD36*(E47+E47*E52))/(AD35*(E47+E47*E51)))))))</f>
        <v>6.1964787500000007</v>
      </c>
      <c r="AE38" s="385">
        <f>((SQRT(POWER(AE35*(E47+E47*E51),2)+POWER(AE36*(E47+E47*E52),2)))/E47)*SIN(RADIANS(IF(AE35=0,90,180+DEGREES(ATAN((AE36*(E47+E47*E52))/(AE35*(E47+E47*E51)))))))</f>
        <v>6.1964787500000007</v>
      </c>
      <c r="AF38" s="385">
        <f>((SQRT(POWER(AF35*(E47+E47*E51),2)+POWER(AF36*(E47+E47*E52),2)))/E47)*SIN(RADIANS(IF(AF35=0,90,180+DEGREES(ATAN((AF36*(E47+E47*E52))/(AF35*(E47+E47*E51)))))))</f>
        <v>0.62012125000000007</v>
      </c>
      <c r="AG38" s="401">
        <f>((SQRT(POWER(AG35*(E47+E47*E51),2)+POWER(AG36*(E47+E47*E52),2)))/E47)*SIN(RADIANS(IF(AG35=0,90,DEGREES(ATAN((AG36*(E47+E47*E52))/(AG35*(E47+E47*E51)))))))</f>
        <v>0.62012125000000007</v>
      </c>
      <c r="AH38" s="388"/>
      <c r="AI38" s="693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09"/>
    </row>
    <row r="39" spans="1:49" ht="15.75" thickBot="1" x14ac:dyDescent="0.3">
      <c r="A39" s="166"/>
      <c r="B39" s="46">
        <v>15</v>
      </c>
      <c r="C39" s="471" t="s">
        <v>50</v>
      </c>
      <c r="D39" s="472" t="s">
        <v>2</v>
      </c>
      <c r="E39" s="3">
        <v>0.39</v>
      </c>
      <c r="F39" s="151" t="str">
        <f>IF(ISNUMBER(E39),"","Err")</f>
        <v/>
      </c>
      <c r="G39" s="644"/>
      <c r="H39" s="44"/>
      <c r="I39" s="592" t="s">
        <v>19</v>
      </c>
      <c r="J39" s="43"/>
      <c r="K39" s="64"/>
      <c r="L39" s="64"/>
      <c r="M39" s="43"/>
      <c r="N39" s="65"/>
      <c r="O39" s="65"/>
      <c r="P39" s="66" t="s">
        <v>169</v>
      </c>
      <c r="Q39" s="66" t="s">
        <v>170</v>
      </c>
      <c r="R39" s="66" t="s">
        <v>171</v>
      </c>
      <c r="S39" s="122"/>
      <c r="T39" s="644"/>
      <c r="U39" s="44"/>
      <c r="V39" s="402"/>
      <c r="W39" s="402"/>
      <c r="X39" s="402"/>
      <c r="Y39" s="44"/>
      <c r="Z39" s="388"/>
      <c r="AA39" s="388"/>
      <c r="AB39" s="388"/>
      <c r="AC39" s="388"/>
      <c r="AD39" s="388"/>
      <c r="AE39" s="388"/>
      <c r="AF39" s="388"/>
      <c r="AG39" s="44"/>
      <c r="AH39" s="44"/>
      <c r="AI39" s="693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09"/>
    </row>
    <row r="40" spans="1:49" ht="15.75" thickBot="1" x14ac:dyDescent="0.3">
      <c r="A40" s="166"/>
      <c r="B40" s="46">
        <v>16</v>
      </c>
      <c r="C40" s="473" t="s">
        <v>51</v>
      </c>
      <c r="D40" s="472" t="s">
        <v>1</v>
      </c>
      <c r="E40" s="3">
        <v>0.76</v>
      </c>
      <c r="F40" s="151" t="str">
        <f>IF(ISNUMBER(E40),"","Err")</f>
        <v/>
      </c>
      <c r="G40" s="644"/>
      <c r="H40" s="44"/>
      <c r="I40" s="615" t="s">
        <v>142</v>
      </c>
      <c r="J40" s="17"/>
      <c r="K40" s="153">
        <f>ROUNDDOWN(0.9*(IF(E49=1,AA43,AA45)),1)</f>
        <v>2.7</v>
      </c>
      <c r="L40" s="67">
        <f>AA44</f>
        <v>90</v>
      </c>
      <c r="M40" s="184" t="str">
        <f>IF(E49=1,"увелич. Z до","увелич. U до")</f>
        <v>увелич. U до</v>
      </c>
      <c r="N40" s="159">
        <f>(IF(E49=1,AA43,AA45))</f>
        <v>3.1006062500000002</v>
      </c>
      <c r="O40" s="188" t="str">
        <f>IF(E49=1,"Z -&gt; ","U -&gt; ")</f>
        <v xml:space="preserve">U -&gt; </v>
      </c>
      <c r="P40" s="1">
        <v>0</v>
      </c>
      <c r="Q40" s="11">
        <v>0</v>
      </c>
      <c r="R40" s="1">
        <v>0</v>
      </c>
      <c r="S40" s="151" t="str">
        <f>IF(AND(ISNUMBER(P40),ISNUMBER(Q40),ISNUMBER(R40)),"","Err")</f>
        <v/>
      </c>
      <c r="T40" s="644"/>
      <c r="U40" s="44"/>
      <c r="V40" s="44" t="s">
        <v>35</v>
      </c>
      <c r="W40" s="166"/>
      <c r="X40" s="166"/>
      <c r="Y40" s="166"/>
      <c r="Z40" s="337" t="s">
        <v>217</v>
      </c>
      <c r="AA40" s="358">
        <v>1</v>
      </c>
      <c r="AB40" s="358">
        <v>2</v>
      </c>
      <c r="AC40" s="358">
        <v>3</v>
      </c>
      <c r="AD40" s="358">
        <v>4</v>
      </c>
      <c r="AE40" s="358">
        <v>5</v>
      </c>
      <c r="AF40" s="358"/>
      <c r="AG40" s="44"/>
      <c r="AH40" s="44"/>
      <c r="AI40" s="693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09"/>
    </row>
    <row r="41" spans="1:49" ht="15.75" thickBot="1" x14ac:dyDescent="0.3">
      <c r="A41" s="17"/>
      <c r="B41" s="48"/>
      <c r="C41" s="48"/>
      <c r="D41" s="48"/>
      <c r="E41" s="49"/>
      <c r="F41" s="122"/>
      <c r="G41" s="632"/>
      <c r="H41" s="44"/>
      <c r="I41" s="615" t="s">
        <v>143</v>
      </c>
      <c r="J41" s="17"/>
      <c r="K41" s="154">
        <f>ROUNDUP(1.1*(IF(E49=1,AB43,AB45)),1)</f>
        <v>24.200000000000003</v>
      </c>
      <c r="L41" s="68">
        <f>AB44</f>
        <v>11.999999999999993</v>
      </c>
      <c r="M41" s="185" t="str">
        <f>IF(E49=1,"уменьш. Z до","уменьш. U до")</f>
        <v>уменьш. U до</v>
      </c>
      <c r="N41" s="160">
        <f>(IF(E49=1,AB43,AB45))</f>
        <v>21.91803724198526</v>
      </c>
      <c r="O41" s="188" t="str">
        <f>IF(E49=1,"Z -&gt; ","U -&gt; ")</f>
        <v xml:space="preserve">U -&gt; </v>
      </c>
      <c r="P41" s="1">
        <v>0</v>
      </c>
      <c r="Q41" s="11">
        <v>0</v>
      </c>
      <c r="R41" s="1">
        <v>0</v>
      </c>
      <c r="S41" s="151" t="str">
        <f>IF(AND(ISNUMBER(P41),ISNUMBER(Q41),ISNUMBER(R41)),"","Err")</f>
        <v/>
      </c>
      <c r="T41" s="644"/>
      <c r="U41" s="44"/>
      <c r="V41" s="166"/>
      <c r="W41" s="166"/>
      <c r="X41" s="166"/>
      <c r="Y41" s="166"/>
      <c r="Z41" s="337" t="s">
        <v>194</v>
      </c>
      <c r="AA41" s="386">
        <v>0</v>
      </c>
      <c r="AB41" s="384">
        <f>X43*TAN(RADIANS(X46))/(TAN(RADIANS(X46))-TAN(RADIANS(ROUNDDOWN(DEGREES(ATAN(AB38/AB37))+4,0))))</f>
        <v>4.2878151082084166</v>
      </c>
      <c r="AC41" s="384">
        <f>X43*POWER(SIN(RADIANS(X46)),2)+COS(RADIANS(X46))*SQRT(POWER(ROUNDDOWN(0.95*(SQRT(POWER(AC37,2)+POWER(AC38,2))),1),2)-POWER(X43,2)*POWER(SIN(RADIANS(X46)),2))</f>
        <v>5.3816764234695391</v>
      </c>
      <c r="AD41" s="384">
        <f>IF(AD37&lt;=0,0,AD37+0.5*(AC37-AD37))</f>
        <v>0</v>
      </c>
      <c r="AE41" s="400">
        <f>AE37-0.15*(AE37-AF37)</f>
        <v>-1.821823655244438</v>
      </c>
      <c r="AF41" s="166"/>
      <c r="AG41" s="166"/>
      <c r="AH41" s="166"/>
      <c r="AI41" s="693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09"/>
    </row>
    <row r="42" spans="1:49" ht="15.75" customHeight="1" thickBot="1" x14ac:dyDescent="0.3">
      <c r="A42" s="17"/>
      <c r="B42" s="83"/>
      <c r="C42" s="83"/>
      <c r="D42" s="83"/>
      <c r="E42" s="65"/>
      <c r="F42" s="122"/>
      <c r="G42" s="632"/>
      <c r="H42" s="44"/>
      <c r="I42" s="615" t="s">
        <v>144</v>
      </c>
      <c r="J42" s="17"/>
      <c r="K42" s="154">
        <f>(IF(E49=1,AC43,AC45))</f>
        <v>39.000000000000014</v>
      </c>
      <c r="L42" s="68">
        <f>ROUNDDOWN(AC44-5,0)</f>
        <v>41</v>
      </c>
      <c r="M42" s="185" t="s">
        <v>76</v>
      </c>
      <c r="N42" s="160">
        <f>AC44</f>
        <v>46.373174873792522</v>
      </c>
      <c r="O42" s="188" t="s">
        <v>292</v>
      </c>
      <c r="P42" s="1">
        <v>0</v>
      </c>
      <c r="Q42" s="11">
        <v>0</v>
      </c>
      <c r="R42" s="1">
        <v>0</v>
      </c>
      <c r="S42" s="151" t="str">
        <f>IF(AND(ISNUMBER(P42),ISNUMBER(Q42),ISNUMBER(R42)),"","Err")</f>
        <v/>
      </c>
      <c r="T42" s="644"/>
      <c r="U42" s="44"/>
      <c r="V42" s="166"/>
      <c r="W42" s="403" t="s">
        <v>19</v>
      </c>
      <c r="X42" s="404" t="s">
        <v>216</v>
      </c>
      <c r="Y42" s="166"/>
      <c r="Z42" s="337" t="s">
        <v>195</v>
      </c>
      <c r="AA42" s="387">
        <f>AA38</f>
        <v>0.62012125000000007</v>
      </c>
      <c r="AB42" s="385">
        <f>TAN(RADIANS(X46))*(AB41-X43)</f>
        <v>0.91140323647755428</v>
      </c>
      <c r="AC42" s="385">
        <f>TAN(RADIANS(X46))*(AC41-X43)</f>
        <v>5.6460215083784577</v>
      </c>
      <c r="AD42" s="385">
        <f>X44</f>
        <v>6.1964787499999998</v>
      </c>
      <c r="AE42" s="401">
        <f>TAN(RADIANS(X47))*AE41</f>
        <v>5.3600251250000008</v>
      </c>
      <c r="AF42" s="166"/>
      <c r="AG42" s="166"/>
      <c r="AH42" s="166"/>
      <c r="AI42" s="693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09"/>
    </row>
    <row r="43" spans="1:49" ht="15.75" customHeight="1" thickBot="1" x14ac:dyDescent="0.3">
      <c r="A43" s="17"/>
      <c r="B43" s="8" t="s">
        <v>161</v>
      </c>
      <c r="C43" s="5"/>
      <c r="D43" s="5"/>
      <c r="E43" s="5"/>
      <c r="F43" s="122"/>
      <c r="G43" s="632"/>
      <c r="H43" s="44"/>
      <c r="I43" s="615" t="s">
        <v>145</v>
      </c>
      <c r="J43" s="17"/>
      <c r="K43" s="154">
        <f>ROUNDUP(1.1*(IF(E49=1,AD43,AD45)),1)</f>
        <v>34.1</v>
      </c>
      <c r="L43" s="68">
        <f>AD44</f>
        <v>90</v>
      </c>
      <c r="M43" s="185" t="str">
        <f>IF(E49=1,"уменьш. Z до","уменьш. U до")</f>
        <v>уменьш. U до</v>
      </c>
      <c r="N43" s="160">
        <f>(IF(E49=1,AD43,AD45))</f>
        <v>30.98239375</v>
      </c>
      <c r="O43" s="188" t="str">
        <f>IF(E49=1,"Z -&gt; ","U -&gt; ")</f>
        <v xml:space="preserve">U -&gt; </v>
      </c>
      <c r="P43" s="1">
        <v>0</v>
      </c>
      <c r="Q43" s="11">
        <v>0</v>
      </c>
      <c r="R43" s="1">
        <v>0</v>
      </c>
      <c r="S43" s="151" t="str">
        <f>IF(AND(ISNUMBER(P43),ISNUMBER(Q43),ISNUMBER(R43)),"","Err")</f>
        <v/>
      </c>
      <c r="T43" s="632"/>
      <c r="U43" s="44"/>
      <c r="V43" s="337" t="s">
        <v>4</v>
      </c>
      <c r="W43" s="373">
        <f>E19</f>
        <v>3.5449999999999999</v>
      </c>
      <c r="X43" s="366">
        <f>W43*(1+E51)</f>
        <v>4.0772492957746476</v>
      </c>
      <c r="Y43" s="166"/>
      <c r="Z43" s="337" t="s">
        <v>198</v>
      </c>
      <c r="AA43" s="386">
        <f>SQRT(POWER(AA41,2)+POWER(AA42,2))</f>
        <v>0.62012125000000007</v>
      </c>
      <c r="AB43" s="384">
        <f>SQRT(POWER(AB41,2)+POWER(AB42,2))</f>
        <v>4.3836074483970524</v>
      </c>
      <c r="AC43" s="384">
        <f>SQRT(POWER(AC41,2)+POWER(AC42,2))</f>
        <v>7.8000000000000034</v>
      </c>
      <c r="AD43" s="384">
        <f>SQRT(POWER(AD41,2)+POWER(AD42,2))</f>
        <v>6.1964787499999998</v>
      </c>
      <c r="AE43" s="400">
        <f>ROUNDDOWN(SQRT(POWER(AE41,2)+POWER(AE42,2)),1)</f>
        <v>5.6</v>
      </c>
      <c r="AF43" s="166"/>
      <c r="AG43" s="166"/>
      <c r="AH43" s="166"/>
      <c r="AI43" s="693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09"/>
    </row>
    <row r="44" spans="1:49" ht="15.75" thickBot="1" x14ac:dyDescent="0.3">
      <c r="A44" s="17"/>
      <c r="B44" s="43"/>
      <c r="C44" s="43"/>
      <c r="D44" s="43"/>
      <c r="E44" s="53"/>
      <c r="F44" s="122"/>
      <c r="G44" s="632"/>
      <c r="H44" s="44"/>
      <c r="I44" s="616" t="s">
        <v>146</v>
      </c>
      <c r="J44" s="17"/>
      <c r="K44" s="155">
        <f>(IF(E49=1,AE43,AE45))</f>
        <v>28</v>
      </c>
      <c r="L44" s="69">
        <f>ROUNDUP(AE44+5,0)</f>
        <v>114</v>
      </c>
      <c r="M44" s="186" t="s">
        <v>42</v>
      </c>
      <c r="N44" s="161">
        <f>AE44</f>
        <v>108.77242876079609</v>
      </c>
      <c r="O44" s="188" t="s">
        <v>292</v>
      </c>
      <c r="P44" s="1">
        <v>0</v>
      </c>
      <c r="Q44" s="11">
        <v>0</v>
      </c>
      <c r="R44" s="1">
        <v>0</v>
      </c>
      <c r="S44" s="151" t="str">
        <f>IF(AND(ISNUMBER(P44),ISNUMBER(Q44),ISNUMBER(R44)),"","Err")</f>
        <v/>
      </c>
      <c r="T44" s="632"/>
      <c r="U44" s="44"/>
      <c r="V44" s="337" t="s">
        <v>6</v>
      </c>
      <c r="W44" s="373">
        <f>E20</f>
        <v>3.927</v>
      </c>
      <c r="X44" s="366">
        <f>W44*(1+E52)</f>
        <v>6.1964787499999998</v>
      </c>
      <c r="Y44" s="166"/>
      <c r="Z44" s="337" t="s">
        <v>197</v>
      </c>
      <c r="AA44" s="387">
        <f>IF(AA41=0,90,DEGREES(ATAN(AA42/AA41)))</f>
        <v>90</v>
      </c>
      <c r="AB44" s="385">
        <f>IF(AB41=0,90,DEGREES(ATAN(AB42/AB41)))</f>
        <v>11.999999999999993</v>
      </c>
      <c r="AC44" s="385">
        <f>IF(AC41=0,90,DEGREES(ATAN(AC42/AC41)))</f>
        <v>46.373174873792522</v>
      </c>
      <c r="AD44" s="385">
        <f>IF(AD41=0,90,DEGREES(ATAN(AD42/AD41)))</f>
        <v>90</v>
      </c>
      <c r="AE44" s="401">
        <f>IF(AE41=0,90,180+DEGREES(ATAN(AE42/AE41)))</f>
        <v>108.77242876079609</v>
      </c>
      <c r="AF44" s="166"/>
      <c r="AG44" s="166"/>
      <c r="AH44" s="166"/>
      <c r="AI44" s="693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09"/>
    </row>
    <row r="45" spans="1:49" ht="15.75" thickBot="1" x14ac:dyDescent="0.3">
      <c r="A45" s="17"/>
      <c r="B45" s="50" t="s">
        <v>62</v>
      </c>
      <c r="C45" s="51" t="s">
        <v>63</v>
      </c>
      <c r="D45" s="50" t="s">
        <v>67</v>
      </c>
      <c r="E45" s="50" t="s">
        <v>68</v>
      </c>
      <c r="F45" s="122"/>
      <c r="G45" s="632"/>
      <c r="H45" s="44"/>
      <c r="I45" s="18"/>
      <c r="J45" s="17"/>
      <c r="K45" s="166"/>
      <c r="L45" s="166"/>
      <c r="M45" s="166"/>
      <c r="N45" s="166"/>
      <c r="O45" s="166"/>
      <c r="P45" s="166"/>
      <c r="Q45" s="166"/>
      <c r="R45" s="166"/>
      <c r="S45" s="122"/>
      <c r="T45" s="644"/>
      <c r="U45" s="44"/>
      <c r="V45" s="337" t="s">
        <v>8</v>
      </c>
      <c r="W45" s="373">
        <f>E21</f>
        <v>0.39300000000000002</v>
      </c>
      <c r="X45" s="366">
        <f>W45*(1+E52)</f>
        <v>0.62012124999999996</v>
      </c>
      <c r="Y45" s="166"/>
      <c r="Z45" s="337" t="s">
        <v>196</v>
      </c>
      <c r="AA45" s="386">
        <f>AA43*E47</f>
        <v>3.1006062500000002</v>
      </c>
      <c r="AB45" s="384">
        <f>AB43*E47</f>
        <v>21.91803724198526</v>
      </c>
      <c r="AC45" s="384">
        <f>AC43*E47</f>
        <v>39.000000000000014</v>
      </c>
      <c r="AD45" s="384">
        <f>AD43*E47</f>
        <v>30.98239375</v>
      </c>
      <c r="AE45" s="400">
        <f>AE43*E47</f>
        <v>28</v>
      </c>
      <c r="AF45" s="166"/>
      <c r="AG45" s="166"/>
      <c r="AH45" s="166"/>
      <c r="AI45" s="693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09"/>
    </row>
    <row r="46" spans="1:49" ht="15.75" thickBot="1" x14ac:dyDescent="0.3">
      <c r="A46" s="17"/>
      <c r="B46" s="17"/>
      <c r="C46" s="17"/>
      <c r="D46" s="158"/>
      <c r="E46" s="17"/>
      <c r="F46" s="122"/>
      <c r="G46" s="632"/>
      <c r="H46" s="44"/>
      <c r="I46" s="592" t="s">
        <v>20</v>
      </c>
      <c r="J46" s="43"/>
      <c r="K46" s="133"/>
      <c r="L46" s="133"/>
      <c r="M46" s="44"/>
      <c r="N46" s="44"/>
      <c r="O46" s="44"/>
      <c r="P46" s="398" t="s">
        <v>172</v>
      </c>
      <c r="Q46" s="398" t="s">
        <v>173</v>
      </c>
      <c r="R46" s="398" t="s">
        <v>174</v>
      </c>
      <c r="S46" s="122"/>
      <c r="T46" s="644"/>
      <c r="U46" s="44"/>
      <c r="V46" s="44" t="s">
        <v>59</v>
      </c>
      <c r="W46" s="378">
        <f>DEGREES(ATAN(E32/E33))</f>
        <v>72.413244358301839</v>
      </c>
      <c r="X46" s="379">
        <f>DEGREES(ATAN((AC38-AB38)/(AC37-AB37)))</f>
        <v>76.990940505824312</v>
      </c>
      <c r="Y46" s="166"/>
      <c r="Z46" s="337" t="s">
        <v>197</v>
      </c>
      <c r="AA46" s="387">
        <f>AA44</f>
        <v>90</v>
      </c>
      <c r="AB46" s="385">
        <f>AB44</f>
        <v>11.999999999999993</v>
      </c>
      <c r="AC46" s="385">
        <f>AC44</f>
        <v>46.373174873792522</v>
      </c>
      <c r="AD46" s="385">
        <f>AD44</f>
        <v>90</v>
      </c>
      <c r="AE46" s="401">
        <f>AE44</f>
        <v>108.77242876079609</v>
      </c>
      <c r="AF46" s="166"/>
      <c r="AG46" s="166"/>
      <c r="AH46" s="166"/>
      <c r="AI46" s="693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09"/>
    </row>
    <row r="47" spans="1:49" ht="15.75" thickBot="1" x14ac:dyDescent="0.3">
      <c r="A47" s="17"/>
      <c r="B47" s="46">
        <v>1</v>
      </c>
      <c r="C47" s="43" t="s">
        <v>75</v>
      </c>
      <c r="D47" s="43" t="s">
        <v>25</v>
      </c>
      <c r="E47" s="1">
        <v>5</v>
      </c>
      <c r="F47" s="151" t="str">
        <f>IF(ISNUMBER(E47),IF(OR(E47=1,E47=5),"","Не ном."),"Err")</f>
        <v/>
      </c>
      <c r="G47" s="644"/>
      <c r="H47" s="44"/>
      <c r="I47" s="615" t="s">
        <v>430</v>
      </c>
      <c r="J47" s="64"/>
      <c r="K47" s="153">
        <f>ROUNDUP(1.2*(IF(E49=1,AA72,AA74)),1)</f>
        <v>1.4000000000000001</v>
      </c>
      <c r="L47" s="67">
        <f>AA73</f>
        <v>270</v>
      </c>
      <c r="M47" s="184" t="str">
        <f>IF(E49=1,"уменьш. Z до","уменьш. U до")</f>
        <v>уменьш. U до</v>
      </c>
      <c r="N47" s="159">
        <f>(IF(E49=1,AA72,AA74))</f>
        <v>1.0907809895833336</v>
      </c>
      <c r="O47" s="188" t="str">
        <f>IF(E49=1,"Z -&gt; ","U -&gt; ")</f>
        <v xml:space="preserve">U -&gt; </v>
      </c>
      <c r="P47" s="1">
        <v>0</v>
      </c>
      <c r="Q47" s="11">
        <v>0</v>
      </c>
      <c r="R47" s="1">
        <v>0</v>
      </c>
      <c r="S47" s="151" t="str">
        <f t="shared" ref="S47:S52" si="1">IF(AND(ISNUMBER(P47),ISNUMBER(Q47),ISNUMBER(R47)),"","Err")</f>
        <v/>
      </c>
      <c r="T47" s="644"/>
      <c r="U47" s="44"/>
      <c r="V47" s="44" t="s">
        <v>60</v>
      </c>
      <c r="W47" s="405">
        <f>E55</f>
        <v>115</v>
      </c>
      <c r="X47" s="406">
        <f>DEGREES(ATAN((AE38-AF38)/(AE37-AF37)))+180</f>
        <v>108.77242876079609</v>
      </c>
      <c r="Y47" s="44"/>
      <c r="Z47" s="337" t="s">
        <v>190</v>
      </c>
      <c r="AA47" s="386">
        <f>AA41/(1+E51)</f>
        <v>0</v>
      </c>
      <c r="AB47" s="384">
        <f>AB41/(1+E51)</f>
        <v>3.7280782841390838</v>
      </c>
      <c r="AC47" s="384">
        <f>AC41/(1+E51)</f>
        <v>4.6791455555515222</v>
      </c>
      <c r="AD47" s="384">
        <f>AD41/(1+E51)</f>
        <v>0</v>
      </c>
      <c r="AE47" s="400">
        <f>AE41/(1+E51)</f>
        <v>-1.5840004839867146</v>
      </c>
      <c r="AF47" s="166"/>
      <c r="AG47" s="166"/>
      <c r="AH47" s="166"/>
      <c r="AI47" s="693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09"/>
    </row>
    <row r="48" spans="1:49" ht="15.75" thickBot="1" x14ac:dyDescent="0.3">
      <c r="A48" s="17"/>
      <c r="B48" s="46"/>
      <c r="C48" s="43"/>
      <c r="D48" s="43"/>
      <c r="E48" s="10" t="s">
        <v>591</v>
      </c>
      <c r="F48" s="122"/>
      <c r="G48" s="632"/>
      <c r="H48" s="44"/>
      <c r="I48" s="615" t="s">
        <v>246</v>
      </c>
      <c r="J48" s="64"/>
      <c r="K48" s="154">
        <f>ROUNDUP(1.1*(IF(E49=1,AE72,AE74)),1)</f>
        <v>9.6</v>
      </c>
      <c r="L48" s="68">
        <f>AE73</f>
        <v>90</v>
      </c>
      <c r="M48" s="185" t="str">
        <f>IF(E49=1,"уменьш. Z до","уменьш. U до")</f>
        <v>уменьш. U до</v>
      </c>
      <c r="N48" s="160">
        <f>(IF(E49=1,AE72,AE74))</f>
        <v>8.7262479166666687</v>
      </c>
      <c r="O48" s="188" t="str">
        <f>IF(E49=1,"Z -&gt; ","U -&gt; ")</f>
        <v xml:space="preserve">U -&gt; </v>
      </c>
      <c r="P48" s="1">
        <v>0</v>
      </c>
      <c r="Q48" s="11">
        <v>0</v>
      </c>
      <c r="R48" s="1">
        <v>0</v>
      </c>
      <c r="S48" s="151" t="str">
        <f t="shared" si="1"/>
        <v/>
      </c>
      <c r="T48" s="644"/>
      <c r="U48" s="44"/>
      <c r="V48" s="166"/>
      <c r="W48" s="166"/>
      <c r="X48" s="166"/>
      <c r="Y48" s="166"/>
      <c r="Z48" s="337" t="s">
        <v>191</v>
      </c>
      <c r="AA48" s="387">
        <f>AA42/(1+E52)</f>
        <v>0.39300000000000007</v>
      </c>
      <c r="AB48" s="385">
        <f>AB42/(1+E52)</f>
        <v>0.57759909362189865</v>
      </c>
      <c r="AC48" s="385">
        <f>AC42/(1+E52)</f>
        <v>3.5781493583597301</v>
      </c>
      <c r="AD48" s="385">
        <f>AD42/(1+E52)</f>
        <v>3.927</v>
      </c>
      <c r="AE48" s="401">
        <f>AE42/(1+E52)</f>
        <v>3.3969000000000005</v>
      </c>
      <c r="AF48" s="166"/>
      <c r="AG48" s="166"/>
      <c r="AH48" s="166"/>
      <c r="AI48" s="693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09"/>
    </row>
    <row r="49" spans="1:49" ht="15.75" thickBot="1" x14ac:dyDescent="0.3">
      <c r="A49" s="17"/>
      <c r="B49" s="46">
        <v>2</v>
      </c>
      <c r="C49" s="43" t="s">
        <v>115</v>
      </c>
      <c r="D49" s="43" t="s">
        <v>56</v>
      </c>
      <c r="E49" s="9">
        <v>2</v>
      </c>
      <c r="F49" s="151" t="str">
        <f>IF(OR(E49=1,E49=2),"","Err")</f>
        <v/>
      </c>
      <c r="G49" s="644"/>
      <c r="H49" s="44"/>
      <c r="I49" s="615" t="s">
        <v>218</v>
      </c>
      <c r="J49" s="64"/>
      <c r="K49" s="154">
        <f>ROUNDUP(1.1*(IF(E49=1,AC72,AC74)),1)</f>
        <v>14.6</v>
      </c>
      <c r="L49" s="68">
        <f>AC73</f>
        <v>0</v>
      </c>
      <c r="M49" s="185" t="str">
        <f>IF(E49=1,"уменьш. Z до","уменьш. U до")</f>
        <v>уменьш. U до</v>
      </c>
      <c r="N49" s="160">
        <f>(IF(E49=1,AC72,AC74))</f>
        <v>13.196489436619718</v>
      </c>
      <c r="O49" s="188" t="str">
        <f>IF(E49=1,"Z -&gt; ","U -&gt; ")</f>
        <v xml:space="preserve">U -&gt; </v>
      </c>
      <c r="P49" s="1">
        <v>0</v>
      </c>
      <c r="Q49" s="11">
        <v>0</v>
      </c>
      <c r="R49" s="1">
        <v>0</v>
      </c>
      <c r="S49" s="151" t="str">
        <f t="shared" si="1"/>
        <v/>
      </c>
      <c r="T49" s="644"/>
      <c r="U49" s="44"/>
      <c r="V49" s="166"/>
      <c r="W49" s="166"/>
      <c r="X49" s="166"/>
      <c r="Y49" s="166"/>
      <c r="Z49" s="166"/>
      <c r="AA49" s="166"/>
      <c r="AB49" s="166"/>
      <c r="AC49" s="166"/>
      <c r="AD49" s="166"/>
      <c r="AE49" s="166"/>
      <c r="AF49" s="166"/>
      <c r="AG49" s="166"/>
      <c r="AH49" s="166"/>
      <c r="AI49" s="693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09"/>
    </row>
    <row r="50" spans="1:49" ht="15.75" thickBot="1" x14ac:dyDescent="0.3">
      <c r="A50" s="17"/>
      <c r="B50" s="46"/>
      <c r="C50" s="52"/>
      <c r="D50" s="47"/>
      <c r="E50" s="157"/>
      <c r="F50" s="122"/>
      <c r="G50" s="632"/>
      <c r="H50" s="44"/>
      <c r="I50" s="615" t="s">
        <v>152</v>
      </c>
      <c r="J50" s="64"/>
      <c r="K50" s="154">
        <f>(IF(E49=1,AD72,AD74))</f>
        <v>16.499999999999993</v>
      </c>
      <c r="L50" s="68">
        <f>ROUNDDOWN(AD73-5,0)</f>
        <v>19</v>
      </c>
      <c r="M50" s="185" t="s">
        <v>76</v>
      </c>
      <c r="N50" s="160">
        <f>AD73</f>
        <v>24.547415821533534</v>
      </c>
      <c r="O50" s="188" t="s">
        <v>292</v>
      </c>
      <c r="P50" s="1">
        <v>0</v>
      </c>
      <c r="Q50" s="11">
        <v>0</v>
      </c>
      <c r="R50" s="1">
        <v>0</v>
      </c>
      <c r="S50" s="151" t="str">
        <f t="shared" si="1"/>
        <v/>
      </c>
      <c r="T50" s="644"/>
      <c r="U50" s="44"/>
      <c r="V50" s="678" t="s">
        <v>574</v>
      </c>
      <c r="W50" s="103"/>
      <c r="X50" s="102"/>
      <c r="Y50" s="102"/>
      <c r="Z50" s="102"/>
      <c r="AA50" s="102"/>
      <c r="AB50" s="166"/>
      <c r="AC50" s="166"/>
      <c r="AD50" s="166"/>
      <c r="AE50" s="682" t="s">
        <v>559</v>
      </c>
      <c r="AF50" s="683"/>
      <c r="AG50" s="64"/>
      <c r="AH50" s="64"/>
      <c r="AI50" s="693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09"/>
    </row>
    <row r="51" spans="1:49" ht="15.75" thickBot="1" x14ac:dyDescent="0.3">
      <c r="A51" s="17"/>
      <c r="B51" s="46">
        <v>3</v>
      </c>
      <c r="C51" s="52" t="s">
        <v>28</v>
      </c>
      <c r="D51" s="47" t="s">
        <v>26</v>
      </c>
      <c r="E51" s="54">
        <f>E39*(E35-E33)/(3*E33)</f>
        <v>0.15014084507042252</v>
      </c>
      <c r="F51" s="122"/>
      <c r="G51" s="632"/>
      <c r="H51" s="44"/>
      <c r="I51" s="615" t="s">
        <v>146</v>
      </c>
      <c r="J51" s="64"/>
      <c r="K51" s="155">
        <f>(IF(E49=1,AF72,AF74))</f>
        <v>7.5000000000000018</v>
      </c>
      <c r="L51" s="69">
        <f>ROUNDUP(AF73+5,0)</f>
        <v>120</v>
      </c>
      <c r="M51" s="185" t="s">
        <v>42</v>
      </c>
      <c r="N51" s="161">
        <f>AF73</f>
        <v>114.27443380271782</v>
      </c>
      <c r="O51" s="188" t="s">
        <v>292</v>
      </c>
      <c r="P51" s="1">
        <v>0</v>
      </c>
      <c r="Q51" s="11">
        <v>0</v>
      </c>
      <c r="R51" s="1">
        <v>0</v>
      </c>
      <c r="S51" s="151" t="str">
        <f t="shared" si="1"/>
        <v/>
      </c>
      <c r="T51" s="632"/>
      <c r="U51" s="44"/>
      <c r="V51" s="43" t="s">
        <v>194</v>
      </c>
      <c r="W51" s="97">
        <f>(W52/TAN(RADIANS(X46)))-X43</f>
        <v>-5.5088511707746477</v>
      </c>
      <c r="X51" s="97">
        <f>(X52/TAN(RADIANS(X46)))-X43</f>
        <v>-2.645647420774647</v>
      </c>
      <c r="Y51" s="97">
        <f>(Y52/TAN(RADIANS(X46)))+X43</f>
        <v>5.5088511707746477</v>
      </c>
      <c r="Z51" s="97">
        <f>(Z52/TAN(RADIANS(X46)))+X43</f>
        <v>2.645647420774647</v>
      </c>
      <c r="AA51" s="97">
        <f>W51</f>
        <v>-5.5088511707746477</v>
      </c>
      <c r="AB51" s="166"/>
      <c r="AC51" s="166"/>
      <c r="AD51" s="166"/>
      <c r="AE51" s="685" t="s">
        <v>560</v>
      </c>
      <c r="AF51" s="685" t="str">
        <f>CONCATENATE("Уставки ИПФ:",CHAR(10),"   - ",D19," = ",E19," Ом,",CHAR(10),"   - ",D20," = ",E20," Ом,",CHAR(10),"   - ",D21," = ",E21," Ом,",CHAR(10),"   - ",D54," = ",ROUND(E54,2),CHAR(176),",",CHAR(10),"   - ",D55," = ",ROUND(E55,2),CHAR(176),",",CHAR(10),"   - ",D51," = ",ROUND(E51,3),",",CHAR(10),"   - ",D52," = ",ROUND(E52,3),".")</f>
        <v>Уставки ИПФ:
   - Rуст ипф = 3,545 Ом,
   - Xуст ипф = 3,927 Ом,
   - Xуст ипф1 = 0,393 Ом,
   - fi_1 = 72,41°,
   - fi_2 (ИПФ) = 115°,
   - Kr = 0,15,
   - Kx = 0,578.</v>
      </c>
      <c r="AG51" s="64" t="s">
        <v>56</v>
      </c>
      <c r="AH51" s="64"/>
      <c r="AI51" s="693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09"/>
    </row>
    <row r="52" spans="1:49" ht="15.75" thickBot="1" x14ac:dyDescent="0.3">
      <c r="A52" s="17"/>
      <c r="B52" s="46">
        <v>4</v>
      </c>
      <c r="C52" s="52" t="s">
        <v>29</v>
      </c>
      <c r="D52" s="47" t="s">
        <v>27</v>
      </c>
      <c r="E52" s="54">
        <f>E40*(E34-E32)/(3*E32)</f>
        <v>0.57791666666666663</v>
      </c>
      <c r="F52" s="122"/>
      <c r="G52" s="632"/>
      <c r="H52" s="44"/>
      <c r="I52" s="616" t="s">
        <v>247</v>
      </c>
      <c r="J52" s="64"/>
      <c r="K52" s="155">
        <f>(IF(E49=1,AB72,AB74))</f>
        <v>11</v>
      </c>
      <c r="L52" s="69">
        <f>ROUNDUP(AB73-5,0)</f>
        <v>332</v>
      </c>
      <c r="M52" s="186" t="s">
        <v>76</v>
      </c>
      <c r="N52" s="161">
        <f>AB73</f>
        <v>336.77260896876322</v>
      </c>
      <c r="O52" s="188" t="s">
        <v>292</v>
      </c>
      <c r="P52" s="1">
        <v>0</v>
      </c>
      <c r="Q52" s="11">
        <v>0</v>
      </c>
      <c r="R52" s="1">
        <v>0</v>
      </c>
      <c r="S52" s="151" t="str">
        <f t="shared" si="1"/>
        <v/>
      </c>
      <c r="T52" s="632"/>
      <c r="U52" s="44"/>
      <c r="V52" s="43" t="s">
        <v>195</v>
      </c>
      <c r="W52" s="97">
        <f>-1*X44</f>
        <v>-6.1964787499999998</v>
      </c>
      <c r="X52" s="97">
        <f>X44</f>
        <v>6.1964787499999998</v>
      </c>
      <c r="Y52" s="97">
        <f>X44</f>
        <v>6.1964787499999998</v>
      </c>
      <c r="Z52" s="97">
        <f>-1*X44</f>
        <v>-6.1964787499999998</v>
      </c>
      <c r="AA52" s="97">
        <f>W52</f>
        <v>-6.1964787499999998</v>
      </c>
      <c r="AB52" s="166"/>
      <c r="AC52" s="166"/>
      <c r="AD52" s="166"/>
      <c r="AE52" s="685" t="s">
        <v>561</v>
      </c>
      <c r="AF52" s="685" t="str">
        <f>CONCATENATE("Характеристика ИПФ.",CHAR(10),CHAR(10),AF51)</f>
        <v>Характеристика ИПФ.
Уставки ИПФ:
   - Rуст ипф = 3,545 Ом,
   - Xуст ипф = 3,927 Ом,
   - Xуст ипф1 = 0,393 Ом,
   - fi_1 = 72,41°,
   - fi_2 (ИПФ) = 115°,
   - Kr = 0,15,
   - Kx = 0,578.</v>
      </c>
      <c r="AG52" s="64" t="s">
        <v>56</v>
      </c>
      <c r="AH52" s="64"/>
      <c r="AI52" s="693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09"/>
    </row>
    <row r="53" spans="1:49" x14ac:dyDescent="0.25">
      <c r="A53" s="17"/>
      <c r="B53" s="46">
        <v>5</v>
      </c>
      <c r="C53" s="52" t="s">
        <v>431</v>
      </c>
      <c r="D53" s="47" t="s">
        <v>428</v>
      </c>
      <c r="E53" s="54">
        <f>E25*E26/100</f>
        <v>0.16925000000000001</v>
      </c>
      <c r="F53" s="122"/>
      <c r="G53" s="632"/>
      <c r="H53" s="44"/>
      <c r="I53" s="18"/>
      <c r="J53" s="17"/>
      <c r="K53" s="166"/>
      <c r="L53" s="166"/>
      <c r="M53" s="166"/>
      <c r="N53" s="166"/>
      <c r="O53" s="166"/>
      <c r="P53" s="166"/>
      <c r="Q53" s="166"/>
      <c r="R53" s="166"/>
      <c r="S53" s="122"/>
      <c r="T53" s="632"/>
      <c r="U53" s="44"/>
      <c r="V53" s="166"/>
      <c r="W53" s="166"/>
      <c r="X53" s="166"/>
      <c r="Y53" s="166"/>
      <c r="Z53" s="166"/>
      <c r="AA53" s="166"/>
      <c r="AB53" s="166"/>
      <c r="AC53" s="166"/>
      <c r="AD53" s="166"/>
      <c r="AE53" s="685" t="s">
        <v>562</v>
      </c>
      <c r="AF53" s="685" t="str">
        <f>CONCATENATE("Характеристики уставок",CHAR(10),"рабочей области ИПФ.",CHAR(10),CHAR(10),AF51)</f>
        <v>Характеристики уставок
рабочей области ИПФ.
Уставки ИПФ:
   - Rуст ипф = 3,545 Ом,
   - Xуст ипф = 3,927 Ом,
   - Xуст ипф1 = 0,393 Ом,
   - fi_1 = 72,41°,
   - fi_2 (ИПФ) = 115°,
   - Kr = 0,15,
   - Kx = 0,578.</v>
      </c>
      <c r="AG53" s="64" t="s">
        <v>56</v>
      </c>
      <c r="AH53" s="64"/>
      <c r="AI53" s="693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09"/>
    </row>
    <row r="54" spans="1:49" x14ac:dyDescent="0.25">
      <c r="A54" s="17"/>
      <c r="B54" s="46">
        <v>6</v>
      </c>
      <c r="C54" s="52" t="s">
        <v>49</v>
      </c>
      <c r="D54" s="43" t="s">
        <v>22</v>
      </c>
      <c r="E54" s="108">
        <f>IF(OR(E29="",E29=0),DEGREES(ATAN(E32/E33)),E29)</f>
        <v>72.413244358301839</v>
      </c>
      <c r="F54" s="122"/>
      <c r="G54" s="632"/>
      <c r="H54" s="44"/>
      <c r="I54" s="17"/>
      <c r="J54" s="17"/>
      <c r="K54" s="166"/>
      <c r="L54" s="44"/>
      <c r="M54" s="44"/>
      <c r="N54" s="44"/>
      <c r="O54" s="44"/>
      <c r="P54" s="44"/>
      <c r="Q54" s="44"/>
      <c r="R54" s="44"/>
      <c r="S54" s="122"/>
      <c r="T54" s="632"/>
      <c r="U54" s="44"/>
      <c r="V54" s="64" t="s">
        <v>569</v>
      </c>
      <c r="W54" s="64"/>
      <c r="X54" s="64"/>
      <c r="Y54" s="166"/>
      <c r="Z54" s="64" t="s">
        <v>578</v>
      </c>
      <c r="AA54" s="103"/>
      <c r="AB54" s="102"/>
      <c r="AC54" s="166"/>
      <c r="AD54" s="64" t="s">
        <v>579</v>
      </c>
      <c r="AE54" s="103"/>
      <c r="AF54" s="102"/>
      <c r="AG54" s="166"/>
      <c r="AH54" s="166"/>
      <c r="AI54" s="693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09"/>
    </row>
    <row r="55" spans="1:49" ht="15.75" x14ac:dyDescent="0.25">
      <c r="A55" s="17"/>
      <c r="B55" s="46">
        <v>7</v>
      </c>
      <c r="C55" s="52" t="s">
        <v>57</v>
      </c>
      <c r="D55" s="43" t="s">
        <v>571</v>
      </c>
      <c r="E55" s="108">
        <v>115</v>
      </c>
      <c r="F55" s="122"/>
      <c r="G55" s="632"/>
      <c r="H55" s="44"/>
      <c r="I55" s="8" t="s">
        <v>514</v>
      </c>
      <c r="J55" s="4"/>
      <c r="K55" s="4"/>
      <c r="L55" s="4"/>
      <c r="M55" s="4"/>
      <c r="N55" s="4"/>
      <c r="O55" s="4"/>
      <c r="P55" s="4"/>
      <c r="Q55" s="4"/>
      <c r="R55" s="4"/>
      <c r="S55" s="122"/>
      <c r="T55" s="632"/>
      <c r="U55" s="44"/>
      <c r="V55" s="43" t="s">
        <v>194</v>
      </c>
      <c r="W55" s="97">
        <f>W56/TAN(RADIANS(X46))</f>
        <v>-1.4316018750000006</v>
      </c>
      <c r="X55" s="97">
        <f>X56/TAN(RADIANS(X46))</f>
        <v>1.4316018750000006</v>
      </c>
      <c r="Y55" s="166"/>
      <c r="Z55" s="43" t="s">
        <v>194</v>
      </c>
      <c r="AA55" s="97">
        <f>ROUND((AA56/TAN(RADIANS(X46)))-X43*1.1,1)</f>
        <v>-4.3</v>
      </c>
      <c r="AB55" s="97">
        <f>ROUND((AA56/TAN(RADIANS(X46)))+X43*1.1,1)</f>
        <v>4.5999999999999996</v>
      </c>
      <c r="AC55" s="17"/>
      <c r="AD55" s="43" t="s">
        <v>194</v>
      </c>
      <c r="AE55" s="97">
        <f>AE56/TAN(RADIANS(X47))</f>
        <v>0</v>
      </c>
      <c r="AF55" s="97">
        <f>AF56/TAN(RADIANS(X47))</f>
        <v>-2.3452470703085777</v>
      </c>
      <c r="AG55" s="166"/>
      <c r="AH55" s="166"/>
      <c r="AI55" s="693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09"/>
    </row>
    <row r="56" spans="1:49" ht="18" x14ac:dyDescent="0.25">
      <c r="A56" s="17"/>
      <c r="B56" s="46">
        <v>8</v>
      </c>
      <c r="C56" s="52" t="s">
        <v>58</v>
      </c>
      <c r="D56" s="43" t="s">
        <v>572</v>
      </c>
      <c r="E56" s="108">
        <v>115</v>
      </c>
      <c r="F56" s="122"/>
      <c r="G56" s="632"/>
      <c r="H56" s="44"/>
      <c r="I56" s="111"/>
      <c r="J56" s="112"/>
      <c r="K56" s="112"/>
      <c r="L56" s="112"/>
      <c r="M56" s="112"/>
      <c r="N56" s="112"/>
      <c r="O56" s="112"/>
      <c r="P56" s="112"/>
      <c r="Q56" s="113"/>
      <c r="R56" s="113"/>
      <c r="S56" s="122"/>
      <c r="T56" s="632"/>
      <c r="U56" s="44"/>
      <c r="V56" s="43" t="s">
        <v>195</v>
      </c>
      <c r="W56" s="97">
        <f>-1*X44</f>
        <v>-6.1964787499999998</v>
      </c>
      <c r="X56" s="97">
        <f>X44</f>
        <v>6.1964787499999998</v>
      </c>
      <c r="Y56" s="166"/>
      <c r="Z56" s="43" t="s">
        <v>195</v>
      </c>
      <c r="AA56" s="97">
        <f>X45</f>
        <v>0.62012124999999996</v>
      </c>
      <c r="AB56" s="97">
        <f>X45</f>
        <v>0.62012124999999996</v>
      </c>
      <c r="AC56" s="17"/>
      <c r="AD56" s="43" t="s">
        <v>195</v>
      </c>
      <c r="AE56" s="97">
        <f>0*X44</f>
        <v>0</v>
      </c>
      <c r="AF56" s="97">
        <f>ROUNDUP(1.1*X44,1)</f>
        <v>6.8999999999999995</v>
      </c>
      <c r="AG56" s="166"/>
      <c r="AH56" s="166"/>
      <c r="AI56" s="693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09"/>
    </row>
    <row r="57" spans="1:49" x14ac:dyDescent="0.25">
      <c r="A57" s="17"/>
      <c r="B57" s="46">
        <v>9</v>
      </c>
      <c r="C57" s="52" t="s">
        <v>58</v>
      </c>
      <c r="D57" s="43" t="s">
        <v>573</v>
      </c>
      <c r="E57" s="108">
        <v>-15</v>
      </c>
      <c r="F57" s="122"/>
      <c r="G57" s="632"/>
      <c r="H57" s="44"/>
      <c r="I57" s="114"/>
      <c r="J57" s="115"/>
      <c r="K57" s="115"/>
      <c r="L57" s="115"/>
      <c r="M57" s="115"/>
      <c r="N57" s="115"/>
      <c r="O57" s="115"/>
      <c r="P57" s="115"/>
      <c r="Q57" s="17"/>
      <c r="R57" s="115"/>
      <c r="S57" s="122"/>
      <c r="T57" s="632"/>
      <c r="U57" s="44"/>
      <c r="V57" s="166"/>
      <c r="W57" s="166"/>
      <c r="X57" s="166"/>
      <c r="Y57" s="166"/>
      <c r="Z57" s="166"/>
      <c r="AA57" s="166"/>
      <c r="AB57" s="166"/>
      <c r="AC57" s="17"/>
      <c r="AD57" s="17"/>
      <c r="AE57" s="17"/>
      <c r="AF57" s="166"/>
      <c r="AG57" s="166"/>
      <c r="AH57" s="166"/>
      <c r="AI57" s="693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09"/>
    </row>
    <row r="58" spans="1:49" ht="15.75" thickBot="1" x14ac:dyDescent="0.3">
      <c r="A58" s="17"/>
      <c r="B58" s="48"/>
      <c r="C58" s="48"/>
      <c r="D58" s="48"/>
      <c r="E58" s="48"/>
      <c r="F58" s="122"/>
      <c r="G58" s="632"/>
      <c r="H58" s="44"/>
      <c r="I58" s="738" t="s">
        <v>153</v>
      </c>
      <c r="J58" s="114"/>
      <c r="K58" s="124" t="str">
        <f t="shared" ref="K58:P58" si="2">IF(OR(ABS(K64) &gt; 5,ABS(K66) &gt; 5,ABS(K68) &gt; 5,ABS(K70) &gt; 5,ABS(K72) &gt; 5,IF(K73&lt;&gt;"-",ABS(K74)&gt;5,0)),"","Норма")</f>
        <v>Норма</v>
      </c>
      <c r="L58" s="124" t="str">
        <f t="shared" si="2"/>
        <v>Норма</v>
      </c>
      <c r="M58" s="124" t="str">
        <f t="shared" si="2"/>
        <v>Норма</v>
      </c>
      <c r="N58" s="124" t="str">
        <f t="shared" si="2"/>
        <v>Норма</v>
      </c>
      <c r="O58" s="124" t="str">
        <f t="shared" si="2"/>
        <v>Норма</v>
      </c>
      <c r="P58" s="128" t="str">
        <f t="shared" si="2"/>
        <v>Норма</v>
      </c>
      <c r="Q58" s="178" t="s">
        <v>154</v>
      </c>
      <c r="R58" s="115"/>
      <c r="S58" s="122"/>
      <c r="T58" s="632"/>
      <c r="U58" s="44"/>
      <c r="V58" s="17"/>
      <c r="W58" s="17"/>
      <c r="X58" s="17"/>
      <c r="Y58" s="166"/>
      <c r="Z58" s="166"/>
      <c r="AA58" s="166"/>
      <c r="AB58" s="166"/>
      <c r="AC58" s="17"/>
      <c r="AD58" s="17"/>
      <c r="AE58" s="17"/>
      <c r="AF58" s="166"/>
      <c r="AG58" s="166"/>
      <c r="AH58" s="166"/>
      <c r="AI58" s="693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09"/>
    </row>
    <row r="59" spans="1:49" x14ac:dyDescent="0.25">
      <c r="A59" s="17"/>
      <c r="B59" s="43"/>
      <c r="C59" s="43"/>
      <c r="D59" s="43"/>
      <c r="E59" s="43"/>
      <c r="F59" s="122"/>
      <c r="G59" s="632"/>
      <c r="H59" s="44"/>
      <c r="I59" s="738"/>
      <c r="J59" s="125"/>
      <c r="K59" s="126" t="str">
        <f t="shared" ref="K59:P59" si="3">IF(K58="Норма","","Погрешность")</f>
        <v/>
      </c>
      <c r="L59" s="129" t="str">
        <f t="shared" si="3"/>
        <v/>
      </c>
      <c r="M59" s="130" t="str">
        <f t="shared" si="3"/>
        <v/>
      </c>
      <c r="N59" s="130" t="str">
        <f t="shared" si="3"/>
        <v/>
      </c>
      <c r="O59" s="130" t="str">
        <f t="shared" si="3"/>
        <v/>
      </c>
      <c r="P59" s="130" t="str">
        <f t="shared" si="3"/>
        <v/>
      </c>
      <c r="Q59" s="178" t="s">
        <v>155</v>
      </c>
      <c r="R59" s="115"/>
      <c r="S59" s="122"/>
      <c r="T59" s="632"/>
      <c r="U59" s="44"/>
      <c r="V59" s="17"/>
      <c r="W59" s="17"/>
      <c r="X59" s="17"/>
      <c r="Y59" s="166"/>
      <c r="Z59" s="166"/>
      <c r="AA59" s="166"/>
      <c r="AB59" s="166"/>
      <c r="AC59" s="166"/>
      <c r="AD59" s="166"/>
      <c r="AE59" s="166"/>
      <c r="AF59" s="166"/>
      <c r="AG59" s="166"/>
      <c r="AH59" s="166"/>
      <c r="AI59" s="693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09"/>
    </row>
    <row r="60" spans="1:49" ht="15.75" thickBot="1" x14ac:dyDescent="0.3">
      <c r="A60" s="17"/>
      <c r="B60" s="43"/>
      <c r="C60" s="43"/>
      <c r="D60" s="43"/>
      <c r="E60" s="43"/>
      <c r="F60" s="122"/>
      <c r="G60" s="632"/>
      <c r="H60" s="44"/>
      <c r="I60" s="17"/>
      <c r="J60" s="17"/>
      <c r="K60" s="17"/>
      <c r="L60" s="43"/>
      <c r="M60" s="43"/>
      <c r="N60" s="43"/>
      <c r="O60" s="43"/>
      <c r="P60" s="43"/>
      <c r="Q60" s="178" t="s">
        <v>156</v>
      </c>
      <c r="R60" s="43"/>
      <c r="S60" s="122"/>
      <c r="T60" s="632"/>
      <c r="U60" s="44"/>
      <c r="V60" s="17"/>
      <c r="W60" s="17"/>
      <c r="X60" s="17"/>
      <c r="Y60" s="166"/>
      <c r="Z60" s="166"/>
      <c r="AA60" s="166"/>
      <c r="AB60" s="166"/>
      <c r="AC60" s="166"/>
      <c r="AD60" s="166"/>
      <c r="AE60" s="166"/>
      <c r="AF60" s="166"/>
      <c r="AG60" s="166"/>
      <c r="AH60" s="166"/>
      <c r="AI60" s="693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09"/>
    </row>
    <row r="61" spans="1:49" ht="15.75" x14ac:dyDescent="0.25">
      <c r="A61" s="17"/>
      <c r="B61" s="43"/>
      <c r="C61" s="43"/>
      <c r="D61" s="43"/>
      <c r="E61" s="43"/>
      <c r="F61" s="122"/>
      <c r="G61" s="632"/>
      <c r="H61" s="44"/>
      <c r="I61" s="721" t="s">
        <v>0</v>
      </c>
      <c r="J61" s="739"/>
      <c r="K61" s="395" t="s">
        <v>74</v>
      </c>
      <c r="L61" s="396" t="s">
        <v>70</v>
      </c>
      <c r="M61" s="395" t="s">
        <v>74</v>
      </c>
      <c r="N61" s="396" t="s">
        <v>71</v>
      </c>
      <c r="O61" s="395" t="s">
        <v>74</v>
      </c>
      <c r="P61" s="397" t="s">
        <v>72</v>
      </c>
      <c r="Q61" s="17"/>
      <c r="R61" s="116"/>
      <c r="S61" s="122"/>
      <c r="T61" s="632"/>
      <c r="U61" s="122"/>
      <c r="V61" s="122"/>
      <c r="W61" s="122"/>
      <c r="X61" s="122"/>
      <c r="Y61" s="122"/>
      <c r="Z61" s="122"/>
      <c r="AA61" s="122"/>
      <c r="AB61" s="122"/>
      <c r="AC61" s="122"/>
      <c r="AD61" s="122"/>
      <c r="AE61" s="122"/>
      <c r="AF61" s="122"/>
      <c r="AG61" s="122"/>
      <c r="AH61" s="122"/>
      <c r="AI61" s="693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109"/>
    </row>
    <row r="62" spans="1:49" ht="15.75" thickBot="1" x14ac:dyDescent="0.3">
      <c r="A62" s="17"/>
      <c r="B62" s="43"/>
      <c r="C62" s="43"/>
      <c r="D62" s="43"/>
      <c r="E62" s="43"/>
      <c r="F62" s="122"/>
      <c r="G62" s="632"/>
      <c r="H62" s="44"/>
      <c r="I62" s="740"/>
      <c r="J62" s="741"/>
      <c r="K62" s="338" t="s">
        <v>52</v>
      </c>
      <c r="L62" s="338" t="s">
        <v>53</v>
      </c>
      <c r="M62" s="338" t="s">
        <v>52</v>
      </c>
      <c r="N62" s="338" t="s">
        <v>53</v>
      </c>
      <c r="O62" s="338" t="s">
        <v>52</v>
      </c>
      <c r="P62" s="339" t="s">
        <v>53</v>
      </c>
      <c r="Q62" s="17"/>
      <c r="R62" s="116"/>
      <c r="S62" s="122"/>
      <c r="T62" s="632"/>
      <c r="U62" s="122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693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4"/>
      <c r="AU62" s="64"/>
      <c r="AV62" s="64"/>
      <c r="AW62" s="109"/>
    </row>
    <row r="63" spans="1:49" ht="15.75" thickBot="1" x14ac:dyDescent="0.3">
      <c r="A63" s="17"/>
      <c r="B63" s="43"/>
      <c r="C63" s="43"/>
      <c r="D63" s="43"/>
      <c r="E63" s="43"/>
      <c r="F63" s="122"/>
      <c r="G63" s="632"/>
      <c r="H63" s="44"/>
      <c r="I63" s="730" t="s">
        <v>47</v>
      </c>
      <c r="J63" s="731"/>
      <c r="K63" s="340">
        <f>IF(OR(P43="",P43=0),(N43*(POWER(E47,2-E49))*TAN(RADIANS(L43))/SQRT(1+POWER(TAN(RADIANS(L43)),2))/(E47+E47*E52)),(P43*(POWER(E47,2-E49))*TAN(RADIANS(L43))/SQRT(1+POWER(TAN(RADIANS(L43)),2))/(E47+E47*E52)))</f>
        <v>3.927</v>
      </c>
      <c r="L63" s="340">
        <f>IF(OR(P48="",P48=0),(N48*(POWER(E47,2-E49))*TAN(RADIANS(L48))/SQRT(1+POWER(TAN(RADIANS(L48)),2))/(E47+E47*E52*E27)),(P48*(POWER(E47,2-E49))*TAN(RADIANS(L48))/SQRT(1+POWER(TAN(RADIANS(L48)),2))/(E47+E47*E52*E27)))</f>
        <v>1.3540000000000003</v>
      </c>
      <c r="M63" s="340">
        <f>IF(OR(Q43="",Q43=0),(N43*(POWER(E47,2-E49))*TAN(RADIANS(L43))/SQRT(1+POWER(TAN(RADIANS(L43)),2))/(E47+E47*E52)),(Q43*(POWER(E47,2-E49))*TAN(RADIANS(L43))/SQRT(1+POWER(TAN(RADIANS(L43)),2))/(E47+E47*E52)))</f>
        <v>3.927</v>
      </c>
      <c r="N63" s="340">
        <f>IF(OR(Q48="",Q48=0),(N48*(POWER(E47,2-E49))*TAN(RADIANS(L48))/SQRT(1+POWER(TAN(RADIANS(L48)),2))/(E47+E47*E52*E27)),(Q48*(POWER(E47,2-E49))*TAN(RADIANS(L48))/SQRT(1+POWER(TAN(RADIANS(L48)),2))/(E47+E47*E52*E27)))</f>
        <v>1.3540000000000003</v>
      </c>
      <c r="O63" s="340">
        <f>IF(OR(R43="",R43=0),(N43*(POWER(E47,2-E49))*TAN(RADIANS(L43))/SQRT(1+POWER(TAN(RADIANS(L43)),2))/(E47+E47*E52)),(R43*(POWER(E47,2-E49))*TAN(RADIANS(L43))/SQRT(1+POWER(TAN(RADIANS(L43)),2))/(E47+E47*E52)))</f>
        <v>3.927</v>
      </c>
      <c r="P63" s="341">
        <f>IF(OR(R48="",R48=0),(N48*(POWER(E47,2-E49))*TAN(RADIANS(L48))/SQRT(1+POWER(TAN(RADIANS(L48)),2))/(E47+E47*E52*E27)),(R48*(POWER(E47,2-E49))*TAN(RADIANS(L48))/SQRT(1+POWER(TAN(RADIANS(L48)),2))/(E47+E47*E52*E27)))</f>
        <v>1.3540000000000003</v>
      </c>
      <c r="Q63" s="17"/>
      <c r="R63" s="116"/>
      <c r="S63" s="122"/>
      <c r="T63" s="632"/>
      <c r="U63" s="44"/>
      <c r="V63" s="361" t="s">
        <v>290</v>
      </c>
      <c r="W63" s="363" t="s">
        <v>100</v>
      </c>
      <c r="X63" s="361" t="s">
        <v>101</v>
      </c>
      <c r="Y63" s="166"/>
      <c r="Z63" s="44" t="s">
        <v>34</v>
      </c>
      <c r="AA63" s="358">
        <v>1</v>
      </c>
      <c r="AB63" s="358">
        <v>2</v>
      </c>
      <c r="AC63" s="358">
        <v>3</v>
      </c>
      <c r="AD63" s="358">
        <v>4</v>
      </c>
      <c r="AE63" s="358">
        <v>5</v>
      </c>
      <c r="AF63" s="358">
        <v>6</v>
      </c>
      <c r="AG63" s="44"/>
      <c r="AH63" s="44"/>
      <c r="AI63" s="693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09"/>
    </row>
    <row r="64" spans="1:49" x14ac:dyDescent="0.25">
      <c r="A64" s="17"/>
      <c r="B64" s="17"/>
      <c r="C64" s="17"/>
      <c r="D64" s="17"/>
      <c r="E64" s="17"/>
      <c r="F64" s="122"/>
      <c r="G64" s="632"/>
      <c r="H64" s="44"/>
      <c r="I64" s="732" t="s">
        <v>54</v>
      </c>
      <c r="J64" s="733"/>
      <c r="K64" s="584">
        <f>(K63-E20)*100/E20</f>
        <v>0</v>
      </c>
      <c r="L64" s="584">
        <f>(L63-E25)*100/E25</f>
        <v>1.6399158413960953E-14</v>
      </c>
      <c r="M64" s="584">
        <f>(M63-E20)*100/E20</f>
        <v>0</v>
      </c>
      <c r="N64" s="584">
        <f>(N63-E25)*100/E25</f>
        <v>1.6399158413960953E-14</v>
      </c>
      <c r="O64" s="584">
        <f>(O63-E20)*100/E20</f>
        <v>0</v>
      </c>
      <c r="P64" s="585">
        <f>(P63-E25)*100/E25</f>
        <v>1.6399158413960953E-14</v>
      </c>
      <c r="Q64" s="172" t="str">
        <f>IF(OR(IF(ISNUMBER(K64),IF(ABS(K64)&gt;5,1,0),0),IF(ISNUMBER(L64),IF(ABS(L64)&gt;5,1,0),0),IF(ISNUMBER(M64),IF(ABS(M64)&gt;5,1,0),0),IF(ISNUMBER(N64),IF(ABS(N64)&gt;5,1,0),0),IF(ISNUMBER(O64),IF(ABS(O64)&gt;5,1,0),0),IF(ISNUMBER(P64),IF(ABS(P64)&gt;5,1,0),0)),"&lt;= Err","")</f>
        <v/>
      </c>
      <c r="R64" s="43"/>
      <c r="S64" s="122"/>
      <c r="T64" s="632"/>
      <c r="U64" s="44"/>
      <c r="V64" s="370" t="s">
        <v>289</v>
      </c>
      <c r="W64" s="371">
        <f>AP28</f>
        <v>0.60000000000000009</v>
      </c>
      <c r="X64" s="372">
        <f>AQ28</f>
        <v>1.0392304845413263</v>
      </c>
      <c r="Y64" s="166"/>
      <c r="Z64" s="44" t="s">
        <v>192</v>
      </c>
      <c r="AA64" s="386">
        <v>0</v>
      </c>
      <c r="AB64" s="384">
        <f>(TAN(RADIANS(W75))*E24-E53)/(TAN(RADIANS(W75))-TAN(RADIANS(W77)))</f>
        <v>2.2133714402355076</v>
      </c>
      <c r="AC64" s="384">
        <f>(E25+TAN(RADIANS(W75))*E24)/TAN(RADIANS(W75))</f>
        <v>2.8841696428571435</v>
      </c>
      <c r="AD64" s="384">
        <f>IF((E25/TAN(RADIANS(W75)))-E24&gt;=E25*9/(8*TAN(RADIANS(W76))),(E25/TAN(RADIANS(W75)))-E24,E25*9/(8*TAN(RADIANS(W76))))</f>
        <v>-0.71030314028460129</v>
      </c>
      <c r="AE64" s="384">
        <f>IF(TAN(RADIANS(W75))*E24/(TAN(RADIANS(W76))-TAN(RADIANS(W75)))&gt;=E25*9/(8*TAN(RADIANS(W76))),TAN(RADIANS(W75))*E24/(TAN(RADIANS(W76))-TAN(RADIANS(W75))),E25*9/(8*TAN(RADIANS(W76))))</f>
        <v>-0.71030314028460129</v>
      </c>
      <c r="AF64" s="400">
        <f>0</f>
        <v>0</v>
      </c>
      <c r="AG64" s="44"/>
      <c r="AH64" s="44"/>
      <c r="AI64" s="693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09"/>
    </row>
    <row r="65" spans="1:49" ht="15.75" thickBot="1" x14ac:dyDescent="0.3">
      <c r="A65" s="17"/>
      <c r="B65" s="17"/>
      <c r="C65" s="17"/>
      <c r="D65" s="17"/>
      <c r="E65" s="17"/>
      <c r="F65" s="122"/>
      <c r="G65" s="632"/>
      <c r="H65" s="44"/>
      <c r="I65" s="734" t="s">
        <v>46</v>
      </c>
      <c r="J65" s="735"/>
      <c r="K65" s="342">
        <f>IF(OR(P41="",P41=0,P42="",P42=0),(N41*(POWER(E47,2-E49))/SQRT(1+POWER(TAN(RADIANS(L41)),2))/(E47+E47*E51))-(N41*(POWER(E47,2-E49))*TAN(RADIANS(L41))/SQRT(1+POWER(TAN(RADIANS(L41)),2))/(E47+E47*E52))*((K42*(POWER(E47,2-E49))/SQRT(1+POWER(TAN(RADIANS(N42)),2))/(E47+E47*E51))-(N41*(POWER(E47,2-E49))/SQRT(1+POWER(TAN(RADIANS(L41)),2))/(E47+E47*E51)))/((K42*(POWER(E47,2-E49))*TAN(RADIANS(N42))/SQRT(1+POWER(TAN(RADIANS(N42)),2))/(E47+E47*E52))-(N41*(POWER(E47,2-E49))*TAN(RADIANS(L41))/SQRT(1+POWER(TAN(RADIANS(L41)),2))/(E47+E47*E52))),(P41*(POWER(E47,2-E49))/SQRT(1+POWER(TAN(RADIANS(L41)),2))/(E47+E47*E51))-(P41*(POWER(E47,2-E49))*TAN(RADIANS(L41))/SQRT(1+POWER(TAN(RADIANS(L41)),2))/(E47+E47*E52))*((K42*(POWER(E47,2-E49))/SQRT(1+POWER(TAN(RADIANS(P42)),2))/(E47+E47*E51))-(P41*(POWER(E47,2-E49))/SQRT(1+POWER(TAN(RADIANS(L41)),2))/(E47+E47*E51)))/((K42*(POWER(E47,2-E49))*TAN(RADIANS(P42))/SQRT(1+POWER(TAN(RADIANS(P42)),2))/(E47+E47*E52))-(P41*(POWER(E47,2-E49))*TAN(RADIANS(L41))/SQRT(1+POWER(TAN(RADIANS(L41)),2))/(E47+E47*E52))))</f>
        <v>3.544999999999999</v>
      </c>
      <c r="L65" s="342">
        <f>IF(OR(P49="",P49=0),(N49*(POWER(E47,2-E49))/SQRT(1+POWER(TAN(RADIANS(L49)),2))/(E47+E47*E51*E27)),(P49*(POWER(E47,2-E49))/SQRT(1+POWER(TAN(RADIANS(L49)),2))/(E47+E47*E51*E27)))</f>
        <v>2.4550000000000001</v>
      </c>
      <c r="M65" s="342">
        <f>IF(OR(Q41="",Q41=0,Q42="",Q42=0),(N41*(POWER(E47,2-E49))/SQRT(1+POWER(TAN(RADIANS(L41)),2))/(E47+E47*E51))-(N41*(POWER(E47,2-E49))*TAN(RADIANS(L41))/SQRT(1+POWER(TAN(RADIANS(L41)),2))/(E47+E47*E52))*((K42*(POWER(E47,2-E49))/SQRT(1+POWER(TAN(RADIANS(N42)),2))/(E47+E47*E51))-(N41*(POWER(E47,2-E49))/SQRT(1+POWER(TAN(RADIANS(L41)),2))/(E47+E47*E51)))/((K42*(POWER(E47,2-E49))*TAN(RADIANS(N42))/SQRT(1+POWER(TAN(RADIANS(N42)),2))/(E47+E47*E52))-(N41*(POWER(E47,2-E49))*TAN(RADIANS(L41))/SQRT(1+POWER(TAN(RADIANS(L41)),2))/(E47+E47*E52))),(Q41*(POWER(E47,2-E49))/SQRT(1+POWER(TAN(RADIANS(L41)),2))/(E47+E47*E51))-(Q41*(POWER(E47,2-E49))*TAN(RADIANS(L41))/SQRT(1+POWER(TAN(RADIANS(L41)),2))/(E47+E47*E52))*((K42*(POWER(E47,2-E49))/SQRT(1+POWER(TAN(RADIANS(Q42)),2))/(E47+E47*E51))-(Q41*(POWER(E47,2-E49))/SQRT(1+POWER(TAN(RADIANS(L41)),2))/(E47+E47*E51)))/((K42*(POWER(E47,2-E49))*TAN(RADIANS(Q42))/SQRT(1+POWER(TAN(RADIANS(Q42)),2))/(E47+E47*E52))-(Q41*(POWER(E47,2-E49))*TAN(RADIANS(L41))/SQRT(1+POWER(TAN(RADIANS(L41)),2))/(E47+E47*E52))))</f>
        <v>3.544999999999999</v>
      </c>
      <c r="N65" s="342">
        <f>IF(OR(Q49="",Q49=0),(N49*(POWER(E47,2-E49))/SQRT(1+POWER(TAN(RADIANS(L49)),2))/(E47+E47*E51*E27)),(Q49*(POWER(E47,2-E49))/SQRT(1+POWER(TAN(RADIANS(L49)),2))/(E47+E47*E51*E27)))</f>
        <v>2.4550000000000001</v>
      </c>
      <c r="O65" s="342">
        <f>IF(OR(R41="",R41=0,R42="",R42=0),(N41*(POWER(E47,2-E49))/SQRT(1+POWER(TAN(RADIANS(L41)),2))/(E47+E47*E51))-(N41*(POWER(E47,2-E49))*TAN(RADIANS(L41))/SQRT(1+POWER(TAN(RADIANS(L41)),2))/(E47+E47*E52))*((K42*(POWER(E47,2-E49))/SQRT(1+POWER(TAN(RADIANS(N42)),2))/(E47+E47*E51))-(N41*(POWER(E47,2-E49))/SQRT(1+POWER(TAN(RADIANS(L41)),2))/(E47+E47*E51)))/((K42*(POWER(E47,2-E49))*TAN(RADIANS(N42))/SQRT(1+POWER(TAN(RADIANS(N42)),2))/(E47+E47*E52))-(N41*(POWER(E47,2-E49))*TAN(RADIANS(L41))/SQRT(1+POWER(TAN(RADIANS(L41)),2))/(E47+E47*E52))),(R41*(POWER(E47,2-E49))/SQRT(1+POWER(TAN(RADIANS(L41)),2))/(E47+E47*E51))-(R41*(POWER(E47,2-E49))*TAN(RADIANS(L41))/SQRT(1+POWER(TAN(RADIANS(L41)),2))/(E47+E47*E52))*((K42*(POWER(E47,2-E49))/SQRT(1+POWER(TAN(RADIANS(R42)),2))/(E47+E47*E51))-(R41*(POWER(E47,2-E49))/SQRT(1+POWER(TAN(RADIANS(L41)),2))/(E47+E47*E51)))/((K42*(POWER(E47,2-E49))*TAN(RADIANS(R42))/SQRT(1+POWER(TAN(RADIANS(R42)),2))/(E47+E47*E52))-(R41*(POWER(E47,2-E49))*TAN(RADIANS(L41))/SQRT(1+POWER(TAN(RADIANS(L41)),2))/(E47+E47*E52))))</f>
        <v>3.544999999999999</v>
      </c>
      <c r="P65" s="343">
        <f>IF(OR(R49="",R49=0),(N49*(POWER(E47,2-E49))/SQRT(1+POWER(TAN(RADIANS(L49)),2))/(E47+E47*E51*E27)),(R49*(POWER(E47,2-E49))/SQRT(1+POWER(TAN(RADIANS(L49)),2))/(E47+E47*E51*E27)))</f>
        <v>2.4550000000000001</v>
      </c>
      <c r="Q65" s="17"/>
      <c r="R65" s="43"/>
      <c r="S65" s="122"/>
      <c r="T65" s="632"/>
      <c r="U65" s="44"/>
      <c r="V65" s="367" t="s">
        <v>286</v>
      </c>
      <c r="W65" s="376">
        <f>IF(AND(W64&gt;=((X64-X74)/TAN(RADIANS(X75))),W64&lt;=(X72+X64/TAN(RADIANS(X75)))),1,0)</f>
        <v>1</v>
      </c>
      <c r="X65" s="369">
        <f>IF(AND(X64&gt;=(X74+TAN(RADIANS(X77))*W64),X64&lt;=X73),1,0)</f>
        <v>1</v>
      </c>
      <c r="Y65" s="166"/>
      <c r="Z65" s="44" t="s">
        <v>193</v>
      </c>
      <c r="AA65" s="387">
        <f>(-1)*E53</f>
        <v>-0.16925000000000001</v>
      </c>
      <c r="AB65" s="385">
        <f>TAN(RADIANS(W75))*(AB64-E24)</f>
        <v>-0.7623210899612155</v>
      </c>
      <c r="AC65" s="385">
        <f>E25</f>
        <v>1.3540000000000001</v>
      </c>
      <c r="AD65" s="385">
        <f>E25</f>
        <v>1.3540000000000001</v>
      </c>
      <c r="AE65" s="385">
        <f>AE64*TAN(RADIANS(W76))-E53</f>
        <v>1.3540000000000001</v>
      </c>
      <c r="AF65" s="401">
        <f>(-1)*E53</f>
        <v>-0.16925000000000001</v>
      </c>
      <c r="AG65" s="44"/>
      <c r="AH65" s="44"/>
      <c r="AI65" s="693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09"/>
    </row>
    <row r="66" spans="1:49" x14ac:dyDescent="0.25">
      <c r="A66" s="17"/>
      <c r="B66" s="17"/>
      <c r="C66" s="17"/>
      <c r="D66" s="17"/>
      <c r="E66" s="17"/>
      <c r="F66" s="122"/>
      <c r="G66" s="632"/>
      <c r="H66" s="44"/>
      <c r="I66" s="732" t="s">
        <v>55</v>
      </c>
      <c r="J66" s="733"/>
      <c r="K66" s="584">
        <f>(K65-E19)*100/E19</f>
        <v>-2.5054398299016229E-14</v>
      </c>
      <c r="L66" s="584">
        <f>(L65-E24)*100/E24</f>
        <v>0</v>
      </c>
      <c r="M66" s="584">
        <f>(M65-E19)*100/E19</f>
        <v>-2.5054398299016229E-14</v>
      </c>
      <c r="N66" s="584">
        <f>(N65-E24)*100/E24</f>
        <v>0</v>
      </c>
      <c r="O66" s="584">
        <f>(O65-E19)*100/E19</f>
        <v>-2.5054398299016229E-14</v>
      </c>
      <c r="P66" s="585">
        <f>(P65-E24)*100/E24</f>
        <v>0</v>
      </c>
      <c r="Q66" s="172" t="str">
        <f>IF(OR(IF(ISNUMBER(K66),IF(ABS(K66)&gt;5,1,0),0),IF(ISNUMBER(L66),IF(ABS(L66)&gt;5,1,0),0),IF(ISNUMBER(M66),IF(ABS(M66)&gt;5,1,0),0),IF(ISNUMBER(N66),IF(ABS(N66)&gt;5,1,0),0),IF(ISNUMBER(O66),IF(ABS(O66)&gt;5,1,0),0),IF(ISNUMBER(P66),IF(ABS(P66)&gt;5,1,0),0)),"&lt;= Err","")</f>
        <v/>
      </c>
      <c r="R66" s="43"/>
      <c r="S66" s="122"/>
      <c r="T66" s="632"/>
      <c r="U66" s="44"/>
      <c r="V66" s="377" t="s">
        <v>287</v>
      </c>
      <c r="W66" s="376">
        <f>IF(AND(W64&gt;=((-1)*X72+X64/TAN(RADIANS(X75))),W64&lt;=((X64-X74)/TAN(RADIANS(X75)))),1,0)</f>
        <v>0</v>
      </c>
      <c r="X66" s="369">
        <f>IF(AND(X64&gt;=(X74+TAN(RADIANS(X76))*W64),X64&lt;=X73),1,0)</f>
        <v>1</v>
      </c>
      <c r="Y66" s="166"/>
      <c r="Z66" s="44" t="s">
        <v>194</v>
      </c>
      <c r="AA66" s="386">
        <f>((SQRT(POWER(AA64*(E47+E47*E51*E27),2)+POWER(AA65*(E47+E47*E52*E27),2)))/E47)*COS(RADIANS(IF(AA64=0,90,(DEGREES(ATAN((AA65*(E47+E47*E52*E27))/(AA64*(E47+E47*E51*E27))))))))</f>
        <v>1.3363686440317166E-17</v>
      </c>
      <c r="AB66" s="384">
        <f>((SQRT(POWER(AB64*(E47+E47*E51*E27),2)+POWER(AB65*(E47+E47*E52*E27),2)))/E47)*COS(RADIANS(IF(AB64=0,90,(DEGREES(ATAN((AB65*(E47+E47*E52*E27))/(AB64*(E47+E47*E51*E27))))))))</f>
        <v>2.3795301694813564</v>
      </c>
      <c r="AC66" s="384">
        <f>((SQRT(POWER(AC64*(E47+E47*E51*E27),2)+POWER(AC65*(E47+E47*E52*E27),2)))/E47)*COS(RADIANS(IF(AC64=0,90,(DEGREES(ATAN((AC65*(E47+E47*E52*E27))/(AC64*(E47+E47*E51*E27))))))))</f>
        <v>3.1006854766096592</v>
      </c>
      <c r="AD66" s="384">
        <f>((SQRT(POWER(AD64*(E47+E47*E51*E27),2)+POWER(AD65*(E47+E47*E52*E27),2)))/E47)*COS(RADIANS(IF(AD64=0,90,(180+DEGREES(ATAN((AD65*(E47+E47*E52*E27))/(AD64*(E47+E47*E51*E27))))))))</f>
        <v>-0.76362589715385365</v>
      </c>
      <c r="AE66" s="384">
        <f>((SQRT(POWER(AE64*(E47+E47*E51*E27),2)+POWER(AE65*(E47+E47*E52*E27),2)))/E47)*COS(RADIANS(IF(AE64=0,90,(180+DEGREES(ATAN((AE65*(E47+E47*E52*E27))/(AE64*(E47+E47*E51*E27))))))))</f>
        <v>-0.76362589715385365</v>
      </c>
      <c r="AF66" s="400">
        <f>((SQRT(POWER(AF64*(E47+E47*E51*E27),2)+POWER(AF65*(E47+E47*E52*E27),2)))/E47)*COS(RADIANS(IF(AF64=0,90,(180+DEGREES(ATAN((AF65*(E47+E47*E52*E27))/(AF64*(E47+E47*E51*E27))))))))</f>
        <v>1.3363686440317166E-17</v>
      </c>
      <c r="AG66" s="44"/>
      <c r="AH66" s="44"/>
      <c r="AI66" s="693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09"/>
    </row>
    <row r="67" spans="1:49" ht="15.75" thickBot="1" x14ac:dyDescent="0.3">
      <c r="A67" s="17"/>
      <c r="B67" s="17"/>
      <c r="C67" s="17"/>
      <c r="D67" s="17"/>
      <c r="E67" s="17"/>
      <c r="F67" s="122"/>
      <c r="G67" s="632"/>
      <c r="H67" s="44"/>
      <c r="I67" s="734" t="s">
        <v>454</v>
      </c>
      <c r="J67" s="735"/>
      <c r="K67" s="342">
        <f>IF(OR(P40="",P40=0),(N40*(POWER(E47,2-E49))*TAN(RADIANS(L40))/SQRT(1+POWER(TAN(RADIANS(L40)),2))/(E47+E47*E52)),(P40*(POWER(E47,2-E49))*TAN(RADIANS(L40))/SQRT(1+POWER(TAN(RADIANS(L40)),2))/(E47+E47*E52)))</f>
        <v>0.39300000000000002</v>
      </c>
      <c r="L67" s="342">
        <f>IF(OR(P47="",P47=0),(N47*(POWER(E47,2-E49))*TAN(RADIANS(L47))/SQRT(1+POWER(TAN(RADIANS(L47)),2))/(E47+E47*E52*E27)),(P47*(POWER(E47,2-E49))*TAN(RADIANS(L47))/SQRT(1+POWER(TAN(RADIANS(L47)),2))/(E47+E47*E52*E27)))</f>
        <v>0.16925000000000004</v>
      </c>
      <c r="M67" s="342">
        <f>IF(OR(Q40="",Q40=0),(N40*(POWER(E47,2-E49))*TAN(RADIANS(L40))/SQRT(1+POWER(TAN(RADIANS(L40)),2))/(E47+E47*E52)),(Q40*(POWER(E47,2-E49))*TAN(RADIANS(L40))/SQRT(1+POWER(TAN(RADIANS(L40)),2))/(E47+E47*E52)))</f>
        <v>0.39300000000000002</v>
      </c>
      <c r="N67" s="342">
        <f>IF(OR(Q47="",Q47=0),(N47*(POWER(E47,2-E49))*TAN(RADIANS(L47))/SQRT(1+POWER(TAN(RADIANS(L47)),2))/(E47+E47*E52*E27)),(Q47*(POWER(E47,2-E49))*TAN(RADIANS(L47))/SQRT(1+POWER(TAN(RADIANS(L47)),2))/(E47+E47*E52*E27)))</f>
        <v>0.16925000000000004</v>
      </c>
      <c r="O67" s="342">
        <f>IF(OR(R40="",R40=0),(N40*(POWER(E47,2-E49))*TAN(RADIANS(L40))/SQRT(1+POWER(TAN(RADIANS(L40)),2))/(E47+E47*E52)),(R40*(POWER(E47,2-E49))*TAN(RADIANS(L40))/SQRT(1+POWER(TAN(RADIANS(L40)),2))/(E47+E47*E52)))</f>
        <v>0.39300000000000002</v>
      </c>
      <c r="P67" s="343">
        <f>IF(OR(R47="",R47=0),(N47*(POWER(E47,2-E49))*TAN(RADIANS(L47))/SQRT(1+POWER(TAN(RADIANS(L47)),2))/(E47+E47*E52*E27)),(R47*(POWER(E47,2-E49))*TAN(RADIANS(L47))/SQRT(1+POWER(TAN(RADIANS(L47)),2))/(E47+E47*E52*E27)))</f>
        <v>0.16925000000000004</v>
      </c>
      <c r="Q67" s="17"/>
      <c r="R67" s="17"/>
      <c r="S67" s="122"/>
      <c r="T67" s="632"/>
      <c r="U67" s="44"/>
      <c r="V67" s="377" t="s">
        <v>291</v>
      </c>
      <c r="W67" s="376">
        <f>IF(OR(AND(W65,X65),AND(W66,X66)),1,0)</f>
        <v>1</v>
      </c>
      <c r="X67" s="369"/>
      <c r="Y67" s="166"/>
      <c r="Z67" s="44" t="s">
        <v>195</v>
      </c>
      <c r="AA67" s="387">
        <f>((SQRT(POWER(AA64*(E47+E47*E51*E27),2)+POWER(AA65*(E47+E47*E52*E27),2)))/E47)*SIN(RADIANS(IF(AA64=0,-90,(DEGREES(ATAN((AA65*(E47+E47*E52*E27))/(AA64*(E47+E47*E51*E27))))))))</f>
        <v>-0.21815619791666671</v>
      </c>
      <c r="AB67" s="385">
        <f>((SQRT(POWER(AB64*(E47+E47*E51*E27),2)+POWER(AB65*(E47+E47*E52*E27),2)))/E47)*SIN(RADIANS(IF(AB64=0,90,(DEGREES(ATAN((AB65*(E47+E47*E52*E27))/(AB64*(E47+E47*E51*E27))))))))</f>
        <v>-0.98260012158125853</v>
      </c>
      <c r="AC67" s="385">
        <f>((SQRT(POWER(AC64*(E47+E47*E51*E27),2)+POWER(AC65*(E47+E47*E52*E27),2)))/E47)*SIN(RADIANS(IF(AC64=0,90,(DEGREES(ATAN((AC65*(E47+E47*E52*E27))/(AC64*(E47+E47*E51*E27))))))))</f>
        <v>1.7452495833333339</v>
      </c>
      <c r="AD67" s="385">
        <f>((SQRT(POWER(AD64*(E47+E47*E51*E27),2)+POWER(AD65*(E47+E47*E52*E27),2)))/E47)*SIN(RADIANS(IF(AD64=0,90,(180+DEGREES(ATAN((AD65*(E47+E47*E52*E27))/(AD64*(E47+E47*E51*E27))))))))</f>
        <v>1.7452495833333337</v>
      </c>
      <c r="AE67" s="385">
        <f>((SQRT(POWER(AE64*(E47+E47*E51*E27),2)+POWER(AE65*(E47+E47*E52*E27),2)))/E47)*SIN(RADIANS(IF(AE64=0,90,(180+DEGREES(ATAN((AE65*(E47+E47*E52*E27))/(AE64*(E47+E47*E51*E27))))))))</f>
        <v>1.7452495833333337</v>
      </c>
      <c r="AF67" s="401">
        <f>((SQRT(POWER(AF64*(E47+E47*E51*E27),2)+POWER(AF65*(E47+E47*E52*E27),2)))/E47)*SIN(RADIANS(IF(AF64=0,-90,(180+DEGREES(ATAN((AF65*(E47+E47*E52*E27))/(AF64*(E47+E47*E51*E27))))))))</f>
        <v>-0.21815619791666671</v>
      </c>
      <c r="AG67" s="44"/>
      <c r="AH67" s="44"/>
      <c r="AI67" s="693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09"/>
    </row>
    <row r="68" spans="1:49" ht="15.75" customHeight="1" x14ac:dyDescent="0.25">
      <c r="A68" s="17"/>
      <c r="B68" s="17"/>
      <c r="C68" s="17"/>
      <c r="D68" s="17"/>
      <c r="E68" s="17"/>
      <c r="F68" s="122"/>
      <c r="G68" s="632"/>
      <c r="H68" s="44"/>
      <c r="I68" s="732" t="s">
        <v>54</v>
      </c>
      <c r="J68" s="733"/>
      <c r="K68" s="584">
        <f>(K67-E21)*100/E21</f>
        <v>0</v>
      </c>
      <c r="L68" s="584">
        <f>(ABS(L67)-(E53))*100/(E53)</f>
        <v>1.6399158413960953E-14</v>
      </c>
      <c r="M68" s="584">
        <f>(M67-E21)*100/E21</f>
        <v>0</v>
      </c>
      <c r="N68" s="584">
        <f>(ABS(N67)-(E53))*100/(E53)</f>
        <v>1.6399158413960953E-14</v>
      </c>
      <c r="O68" s="584">
        <f>(O67-E21)*100/E21</f>
        <v>0</v>
      </c>
      <c r="P68" s="585">
        <f>(ABS(P67)-(E53))*100/(E53)</f>
        <v>1.6399158413960953E-14</v>
      </c>
      <c r="Q68" s="172" t="str">
        <f>IF(OR(IF(ISNUMBER(K68),IF(ABS(K68)&gt;5,1,0),0),IF(ISNUMBER(L68),IF(ABS(L68)&gt;5,1,0),0),IF(ISNUMBER(M68),IF(ABS(M68)&gt;5,1,0),0),IF(ISNUMBER(N68),IF(ABS(N68)&gt;5,1,0),0),IF(ISNUMBER(O68),IF(ABS(O68)&gt;5,1,0),0),IF(ISNUMBER(P68),IF(ABS(P68)&gt;5,1,0),0)),"&lt;= Err","")</f>
        <v/>
      </c>
      <c r="R68" s="17"/>
      <c r="S68" s="122"/>
      <c r="T68" s="632"/>
      <c r="U68" s="44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693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09"/>
    </row>
    <row r="69" spans="1:49" ht="15.75" thickBot="1" x14ac:dyDescent="0.3">
      <c r="A69" s="17"/>
      <c r="B69" s="17"/>
      <c r="C69" s="17"/>
      <c r="D69" s="17"/>
      <c r="E69" s="17"/>
      <c r="F69" s="122"/>
      <c r="G69" s="632"/>
      <c r="H69" s="44"/>
      <c r="I69" s="734" t="s">
        <v>472</v>
      </c>
      <c r="J69" s="735"/>
      <c r="K69" s="344">
        <f>IF(OR(P41="",P41=0,P42="",P42=0),DEGREES(ATAN((K42*(POWER(E47,2-E49))*TAN(RADIANS(N42))/SQRT(1+POWER(TAN(RADIANS(N42)),2))/(E47+E47*E52))/((K42*(POWER(E47,2-E49))/SQRT(1+POWER(TAN(RADIANS(N42)),2))/(E47+E47*E51))-K65))),DEGREES(ATAN((K42*(POWER(E47,2-E49))*TAN(RADIANS(P42))/SQRT(1+POWER(TAN(RADIANS(P42)),2))/(E47+E47*E52))/((K42*(POWER(E47,2-E49))/SQRT(1+POWER(TAN(RADIANS(P42)),2))/(E47+E47*E51))-K65))))</f>
        <v>72.413244358301839</v>
      </c>
      <c r="L69" s="344">
        <f>IF(OR(P49="",P49=0,P50="",P50=0),DEGREES(ATAN((K50*(POWER(E47,2-E49))*TAN(RADIANS(N50))/SQRT(1+POWER(TAN(RADIANS(N50)),2))/(E47+E47*E52*E27))/((K50*(POWER(E47,2-E49))/SQRT(1+POWER(TAN(RADIANS(N50)),2))/(E47+E47*E51*E27))-L65))),DEGREES(ATAN((K50*(POWER(E47,2-E49))*TAN(RADIANS(P50))/SQRT(1+POWER(TAN(RADIANS(P50)),2))/(E47+E47*E52*E27))/((K50*(POWER(E47,2-E49))/SQRT(1+POWER(TAN(RADIANS(P50)),2))/(E47+E47*E51*E27))-L65))))</f>
        <v>72.413244358301824</v>
      </c>
      <c r="M69" s="344">
        <f>IF(OR(Q41="",Q41=0,Q42="",Q42=0),DEGREES(ATAN((K42*(POWER(E47,2-E49))*TAN(RADIANS(N42))/SQRT(1+POWER(TAN(RADIANS(N42)),2))/(E47+E47*E52))/((K42*(POWER(E47,2-E49))/SQRT(1+POWER(TAN(RADIANS(N42)),2))/(E47+E47*E51))-K65))),DEGREES(ATAN((K42*(POWER(E47,2-E49))*TAN(RADIANS(Q42))/SQRT(1+POWER(TAN(RADIANS(Q42)),2))/(E47+E47*E52))/((K42*(POWER(E47,2-E49))/SQRT(1+POWER(TAN(RADIANS(Q42)),2))/(E47+E47*E51))-K65))))</f>
        <v>72.413244358301839</v>
      </c>
      <c r="N69" s="344">
        <f>IF(OR(Q49="",Q49=0,Q50="",Q50=0),DEGREES(ATAN((K50*(POWER(E47,2-E49))*TAN(RADIANS(N50))/SQRT(1+POWER(TAN(RADIANS(N50)),2))/(E47+E47*E52*E27))/((K50*(POWER(E47,2-E49))/SQRT(1+POWER(TAN(RADIANS(N50)),2))/(E47+E47*E51*E27))-L65))),DEGREES(ATAN((K50*(POWER(E47,2-E49))*TAN(RADIANS(Q50))/SQRT(1+POWER(TAN(RADIANS(Q50)),2))/(E47+E47*E52*E27))/((K50*(POWER(E47,2-E49))/SQRT(1+POWER(TAN(RADIANS(Q50)),2))/(E47+E47*E51*E27))-L65))))</f>
        <v>72.413244358301824</v>
      </c>
      <c r="O69" s="344">
        <f>IF(OR(R41="",R41=0,R42="",R42=0),DEGREES(ATAN((K42*(POWER(E47,2-E49))*TAN(RADIANS(N42))/SQRT(1+POWER(TAN(RADIANS(N42)),2))/(E47+E47*E52))/((K42*(POWER(E47,2-E49))/SQRT(1+POWER(TAN(RADIANS(N42)),2))/(E47+E47*E51))-K65))),DEGREES(ATAN((K42*(POWER(E47,2-E49))*TAN(RADIANS(R42))/SQRT(1+POWER(TAN(RADIANS(R42)),2))/(E47+E47*E52))/((K42*(POWER(E47,2-E49))/SQRT(1+POWER(TAN(RADIANS(R42)),2))/(E47+E47*E51))-K65))))</f>
        <v>72.413244358301839</v>
      </c>
      <c r="P69" s="345">
        <f>IF(OR(R49="",R49=0,R50="",R50=0),DEGREES(ATAN((K50*(POWER(E47,2-E49))*TAN(RADIANS(N50))/SQRT(1+POWER(TAN(RADIANS(N50)),2))/(E47+E47*E52*E27))/((K50*(POWER(E47,2-E49))/SQRT(1+POWER(TAN(RADIANS(N50)),2))/(E47+E47*E51*E27))-L65))),DEGREES(ATAN((K50*(POWER(E47,2-E49))*TAN(RADIANS(R50))/SQRT(1+POWER(TAN(RADIANS(R50)),2))/(E47+E47*E52*E27))/((K50*(POWER(E47,2-E49))/SQRT(1+POWER(TAN(RADIANS(R50)),2))/(E47+E47*E51*E27))-L65))))</f>
        <v>72.413244358301824</v>
      </c>
      <c r="Q69" s="17"/>
      <c r="R69" s="43"/>
      <c r="S69" s="122"/>
      <c r="T69" s="632"/>
      <c r="U69" s="44"/>
      <c r="V69" s="44" t="s">
        <v>36</v>
      </c>
      <c r="W69" s="166"/>
      <c r="X69" s="166"/>
      <c r="Y69" s="166"/>
      <c r="Z69" s="337" t="s">
        <v>217</v>
      </c>
      <c r="AA69" s="358">
        <v>1</v>
      </c>
      <c r="AB69" s="358">
        <v>2</v>
      </c>
      <c r="AC69" s="358">
        <v>3</v>
      </c>
      <c r="AD69" s="358">
        <v>4</v>
      </c>
      <c r="AE69" s="358">
        <v>5</v>
      </c>
      <c r="AF69" s="358">
        <v>6</v>
      </c>
      <c r="AG69" s="166"/>
      <c r="AH69" s="166"/>
      <c r="AI69" s="694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09"/>
    </row>
    <row r="70" spans="1:49" ht="15.75" customHeight="1" x14ac:dyDescent="0.25">
      <c r="A70" s="17"/>
      <c r="B70" s="17"/>
      <c r="C70" s="17"/>
      <c r="D70" s="17"/>
      <c r="E70" s="17"/>
      <c r="F70" s="122"/>
      <c r="G70" s="632"/>
      <c r="H70" s="44"/>
      <c r="I70" s="732" t="s">
        <v>461</v>
      </c>
      <c r="J70" s="733"/>
      <c r="K70" s="584">
        <f>K69-E54</f>
        <v>0</v>
      </c>
      <c r="L70" s="584">
        <f>L69-E54</f>
        <v>0</v>
      </c>
      <c r="M70" s="584">
        <f>M69-E54</f>
        <v>0</v>
      </c>
      <c r="N70" s="584">
        <f>N69-E54</f>
        <v>0</v>
      </c>
      <c r="O70" s="584">
        <f>O69-E54</f>
        <v>0</v>
      </c>
      <c r="P70" s="585">
        <f>P69-E54</f>
        <v>0</v>
      </c>
      <c r="Q70" s="172" t="str">
        <f>IF(OR(IF(ISNUMBER(K70),IF(ABS(K70)&gt;5,1,0),0),IF(ISNUMBER(L70),IF(ABS(L70)&gt;5,1,0),0),IF(ISNUMBER(M70),IF(ABS(M70)&gt;5,1,0),0),IF(ISNUMBER(N70),IF(ABS(N70)&gt;5,1,0),0),IF(ISNUMBER(O70),IF(ABS(O70)&gt;5,1,0),0),IF(ISNUMBER(P70),IF(ABS(P70)&gt;5,1,0),0)),"&lt;= Err","")</f>
        <v/>
      </c>
      <c r="R70" s="43"/>
      <c r="S70" s="122"/>
      <c r="T70" s="632"/>
      <c r="U70" s="44"/>
      <c r="V70" s="166"/>
      <c r="W70" s="166"/>
      <c r="X70" s="166"/>
      <c r="Y70" s="166"/>
      <c r="Z70" s="337" t="s">
        <v>194</v>
      </c>
      <c r="AA70" s="386">
        <v>0</v>
      </c>
      <c r="AB70" s="384">
        <f>((-1)*AF67*TAN(RADIANS(X77))+SQRT((POWER(TAN(RADIANS(X77)),2)+1)*POWER((ROUNDDOWN(SQRT(POWER((0.85*AB66*TAN(RADIANS(X77))+X74),2)+POWER((0.85*AB66),2)),1)),2)-POWER(AF67,2)))/(POWER(TAN(RADIANS(X77)),2)+1)</f>
        <v>2.021683190804926</v>
      </c>
      <c r="AC70" s="384">
        <f>X72</f>
        <v>2.6392978873239437</v>
      </c>
      <c r="AD70" s="384">
        <f>X72*POWER(SIN(RADIANS(X75)),2)+COS(RADIANS(X75))*SQRT(POWER(ROUNDDOWN(0.95*(SQRT(POWER(AC66,2)+POWER(AC67,2))),1),2)-POWER(X72,2)*POWER(SIN(RADIANS(X75)),2))</f>
        <v>3.0017386570527615</v>
      </c>
      <c r="AE70" s="384">
        <f>IF(AD66&lt;=0,0,AD66+0.5*(AC66-AD66))</f>
        <v>0</v>
      </c>
      <c r="AF70" s="407">
        <f>((-1)*AF67*TAN(RADIANS(X76))-SQRT((POWER(TAN(RADIANS(X76)),2)+1)*POWER((ROUNDDOWN(SQRT(POWER((0.85*AE66*TAN(RADIANS(X76))+X74),2)+POWER((0.85*AE66),2)),1)),2)-POWER(AF67,2)))/(POWER(TAN(RADIANS(X76)),2)+1)</f>
        <v>-0.6166614546865925</v>
      </c>
      <c r="AG70" s="166"/>
      <c r="AH70" s="166"/>
      <c r="AI70" s="694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09"/>
    </row>
    <row r="71" spans="1:49" ht="15.75" thickBot="1" x14ac:dyDescent="0.3">
      <c r="A71" s="17"/>
      <c r="B71" s="17"/>
      <c r="C71" s="17"/>
      <c r="D71" s="17"/>
      <c r="E71" s="17"/>
      <c r="F71" s="122"/>
      <c r="G71" s="632"/>
      <c r="H71" s="44"/>
      <c r="I71" s="734" t="s">
        <v>473</v>
      </c>
      <c r="J71" s="735"/>
      <c r="K71" s="344">
        <f>IF(OR(P44="",P44=0),180+DEGREES(ATAN((K44*(POWER(E47,2-E49))*TAN(RADIANS(N44))/SQRT(1+POWER(TAN(RADIANS(N44)),2))/(E47+E47*E52))/(K44*(POWER(E47,2-E49))/SQRT(1+POWER(TAN(RADIANS(N44)),2))/(E47+E47*E51)))),180+DEGREES(ATAN((K44*(POWER(E47,2-E49))*TAN(RADIANS(P44))/SQRT(1+POWER(TAN(RADIANS(P44)),2))/(E47+E47*E52))/(K44*(POWER(E47,2-E49))/SQRT(1+POWER(TAN(RADIANS(P44)),2))/(E47+E47*E51)))))</f>
        <v>114.99999999999999</v>
      </c>
      <c r="L71" s="344">
        <f>IF(OR(P47="",P47=0,P51="",P51=0),180+DEGREES(ATAN(((K51*(POWER(E47,2-E49))*(IF(AND(N51&lt;=270,N51&gt;=90),1,-1))*TAN(RADIANS(N51))/SQRT(1+POWER(TAN(RADIANS(N51)),2))/(E47+E47*E52*E27))-(N47*(POWER(E47,2-E49))*(IF(AND(L47&lt;=270,L47&gt;=90),1,-1))*TAN(RADIANS(L47))/SQRT(1+POWER(TAN(RADIANS(L47)),2))/(E47+E47*E52*E27)))/((K51*(POWER(E47,2-E49))*(IF(AND(N51&lt;=270,N51&gt;=90),1,-1))/SQRT(1+POWER(TAN(RADIANS(N51)),2))/(E47+E47*E51*E27))-(N47*(POWER(E47,2-E49))*(IF(AND(L47&lt;=270,L47&gt;=90),1,-1))/SQRT(1+POWER(TAN(RADIANS(L47)),2))/(E47+E47*E51*E27))))),180+DEGREES(ATAN(((K51*(POWER(E47,2-E49))*(IF(AND(P51&lt;=270,P51&gt;=90),1,-1))*TAN(RADIANS(P51))/SQRT(1+POWER(TAN(RADIANS(P51)),2))/(E47+E47*E52*E27))-(P47*(POWER(E47,2-E49))*(IF(AND(L47&lt;=270,L47&gt;=90),1,-1))*TAN(RADIANS(L47))/SQRT(1+POWER(TAN(RADIANS(L47)),2))/(E47+E47*E52*E27)))/((K51*(POWER(E47,2-E49))*(IF(AND(P51&lt;=270,P51&gt;=90),1,-1))/SQRT(1+POWER(TAN(RADIANS(P51)),2))/(E47+E47*E51*E27))-(P47*(POWER(E47,2-E49))*(IF(AND(L47&lt;=270,L47&gt;=90),1,-1))/SQRT(1+POWER(TAN(RADIANS(L47)),2))/(E47+E47*E51*E27))))))</f>
        <v>115</v>
      </c>
      <c r="M71" s="344">
        <f>IF(OR(Q44="",Q44=0),180+DEGREES(ATAN((K44*(POWER(E47,2-E49))*TAN(RADIANS(N44))/SQRT(1+POWER(TAN(RADIANS(N44)),2))/(E47+E47*E52))/(K44*(POWER(E47,2-E49))/SQRT(1+POWER(TAN(RADIANS(N44)),2))/(E47+E47*E51)))),180+DEGREES(ATAN((K44*(POWER(E47,2-E49))*TAN(RADIANS(Q44))/SQRT(1+POWER(TAN(RADIANS(Q44)),2))/(E47+E47*E52))/(K44*(POWER(E47,2-E49))/SQRT(1+POWER(TAN(RADIANS(Q44)),2))/(E47+E47*E51)))))</f>
        <v>114.99999999999999</v>
      </c>
      <c r="N71" s="344">
        <f>IF(OR(Q47="",Q47=0,Q51="",Q51=0),180+DEGREES(ATAN(((K51*(POWER(E47,2-E49))*(IF(AND(N51&lt;=270,N51&gt;=90),1,-1))*TAN(RADIANS(N51))/SQRT(1+POWER(TAN(RADIANS(N51)),2))/(E47+E47*E52*E27))-(N47*(POWER(E47,2-E49))*(IF(AND(L47&lt;=270,L47&gt;=90),1,-1))*TAN(RADIANS(L47))/SQRT(1+POWER(TAN(RADIANS(L47)),2))/(E47+E47*E52*E27)))/((K51*(POWER(E47,2-E49))*(IF(AND(N51&lt;=270,N51&gt;=90),1,-1))/SQRT(1+POWER(TAN(RADIANS(N51)),2))/(E47+E47*E51*E27))-(N47*(POWER(E47,2-E49))*(IF(AND(L47&lt;=270,L47&gt;=90),1,-1))/SQRT(1+POWER(TAN(RADIANS(L47)),2))/(E47+E47*E51*E27))))),180+DEGREES(ATAN(((K51*(POWER(E47,2-E49))*(IF(AND(Q51&lt;=270,Q51&gt;=90),1,-1))*TAN(RADIANS(Q51))/SQRT(1+POWER(TAN(RADIANS(Q51)),2))/(E47+E47*E52*E27))-(Q47*(POWER(E47,2-E49))*(IF(AND(L47&lt;=270,L47&gt;=90),1,-1))*TAN(RADIANS(L47))/SQRT(1+POWER(TAN(RADIANS(L47)),2))/(E47+E47*E52*E27)))/((K51*(POWER(E47,2-E49))*(IF(AND(Q51&lt;=270,Q51&gt;=90),1,-1))/SQRT(1+POWER(TAN(RADIANS(Q51)),2))/(E47+E47*E51*E27))-(Q47*(POWER(E47,2-E49))*(IF(AND(L47&lt;=270,L47&gt;=90),1,-1))/SQRT(1+POWER(TAN(RADIANS(L47)),2))/(E47+E47*E51*E27))))))</f>
        <v>115</v>
      </c>
      <c r="O71" s="344">
        <f>IF(OR(R44="",R44=0),180+DEGREES(ATAN((K44*(POWER(E47,2-E49))*TAN(RADIANS(N44))/SQRT(1+POWER(TAN(RADIANS(N44)),2))/(E47+E47*E52))/(K44*(POWER(E47,2-E49))/SQRT(1+POWER(TAN(RADIANS(N44)),2))/(E47+E47*E51)))),180+DEGREES(ATAN((K44*(POWER(E47,2-E49))*TAN(RADIANS(R44))/SQRT(1+POWER(TAN(RADIANS(R44)),2))/(E47+E47*E52))/(K44*(POWER(E47,2-E49))/SQRT(1+POWER(TAN(RADIANS(R44)),2))/(E47+E47*E51)))))</f>
        <v>114.99999999999999</v>
      </c>
      <c r="P71" s="345">
        <f>IF(OR(R47="",R47=0,R51="",R51=0),180+DEGREES(ATAN(((K51*(POWER(E47,2-E49))*(IF(AND(N51&lt;=270,N51&gt;=90),1,-1))*TAN(RADIANS(N51))/SQRT(1+POWER(TAN(RADIANS(N51)),2))/(E47+E47*E52*E27))-(N47*(POWER(E47,2-E49))*(IF(AND(L47&lt;=270,L47&gt;=90),1,-1))*TAN(RADIANS(L47))/SQRT(1+POWER(TAN(RADIANS(L47)),2))/(E47+E47*E52*E27)))/((K51*(POWER(E47,2-E49))*(IF(AND(N51&lt;=270,N51&gt;=90),1,-1))/SQRT(1+POWER(TAN(RADIANS(N51)),2))/(E47+E47*E51*E27))-(N47*(POWER(E47,2-E49))*(IF(AND(L47&lt;=270,L47&gt;=90),1,-1))/SQRT(1+POWER(TAN(RADIANS(L47)),2))/(E47+E47*E51*E27))))),180+DEGREES(ATAN(((K51*(POWER(E47,2-E49))*(IF(AND(R51&lt;=270,R51&gt;=90),1,-1))*TAN(RADIANS(R51))/SQRT(1+POWER(TAN(RADIANS(R51)),2))/(E47+E47*E52*E27))-(R47*(POWER(E47,2-E49))*(IF(AND(L47&lt;=270,L47&gt;=90),1,-1))*TAN(RADIANS(L47))/SQRT(1+POWER(TAN(RADIANS(L47)),2))/(E47+E47*E52*E27)))/((K51*(POWER(E47,2-E49))*(IF(AND(R51&lt;=270,R51&gt;=90),1,-1))/SQRT(1+POWER(TAN(RADIANS(R51)),2))/(E47+E47*E51*E27))-(R47*(POWER(E47,2-E49))*(IF(AND(L47&lt;=270,L47&gt;=90),1,-1))/SQRT(1+POWER(TAN(RADIANS(L47)),2))/(E47+E47*E51*E27))))))</f>
        <v>115</v>
      </c>
      <c r="Q71" s="17"/>
      <c r="R71" s="43"/>
      <c r="S71" s="122"/>
      <c r="T71" s="632"/>
      <c r="U71" s="44"/>
      <c r="V71" s="166"/>
      <c r="W71" s="403" t="s">
        <v>20</v>
      </c>
      <c r="X71" s="404" t="s">
        <v>216</v>
      </c>
      <c r="Y71" s="166"/>
      <c r="Z71" s="337" t="s">
        <v>195</v>
      </c>
      <c r="AA71" s="387">
        <f>X74</f>
        <v>-0.21815619791666671</v>
      </c>
      <c r="AB71" s="385">
        <f>X74+TAN(RADIANS(X77))*AB70</f>
        <v>-0.86763879351767959</v>
      </c>
      <c r="AC71" s="385">
        <v>0</v>
      </c>
      <c r="AD71" s="385">
        <f>TAN(RADIANS(X75))*(AD70-X72)</f>
        <v>1.3709722954002665</v>
      </c>
      <c r="AE71" s="385">
        <f>X73</f>
        <v>1.7452495833333337</v>
      </c>
      <c r="AF71" s="408">
        <f>X74+TAN(RADIANS(X76))*AF70</f>
        <v>1.3673802142432137</v>
      </c>
      <c r="AG71" s="166"/>
      <c r="AH71" s="166"/>
      <c r="AI71" s="694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09"/>
    </row>
    <row r="72" spans="1:49" ht="16.5" customHeight="1" x14ac:dyDescent="0.25">
      <c r="A72" s="17"/>
      <c r="B72" s="17"/>
      <c r="C72" s="17"/>
      <c r="D72" s="17"/>
      <c r="E72" s="17"/>
      <c r="F72" s="122"/>
      <c r="G72" s="632"/>
      <c r="H72" s="44"/>
      <c r="I72" s="732" t="s">
        <v>462</v>
      </c>
      <c r="J72" s="733"/>
      <c r="K72" s="584">
        <f>K71-E55</f>
        <v>0</v>
      </c>
      <c r="L72" s="584">
        <f>L71-E56</f>
        <v>0</v>
      </c>
      <c r="M72" s="584">
        <f>M71-E55</f>
        <v>0</v>
      </c>
      <c r="N72" s="584">
        <f>N71-E56</f>
        <v>0</v>
      </c>
      <c r="O72" s="584">
        <f>O71-E55</f>
        <v>0</v>
      </c>
      <c r="P72" s="585">
        <f>P71-E56</f>
        <v>0</v>
      </c>
      <c r="Q72" s="172" t="str">
        <f>IF(OR(IF(ISNUMBER(K72),IF(ABS(K72)&gt;5,1,0),0),IF(ISNUMBER(L72),IF(ABS(L72)&gt;5,1,0),0),IF(ISNUMBER(M72),IF(ABS(M72)&gt;5,1,0),0),IF(ISNUMBER(N72),IF(ABS(N72)&gt;5,1,0),0),IF(ISNUMBER(O72),IF(ABS(O72)&gt;5,1,0),0),IF(ISNUMBER(P72),IF(ABS(P72)&gt;5,1,0),0)),"&lt;= Err","")</f>
        <v/>
      </c>
      <c r="R72" s="43"/>
      <c r="S72" s="122"/>
      <c r="T72" s="109"/>
      <c r="U72" s="44"/>
      <c r="V72" s="337" t="s">
        <v>10</v>
      </c>
      <c r="W72" s="373">
        <f>E24</f>
        <v>2.4550000000000001</v>
      </c>
      <c r="X72" s="366">
        <f>W72*(1+E51*E27)</f>
        <v>2.6392978873239437</v>
      </c>
      <c r="Y72" s="166"/>
      <c r="Z72" s="337" t="s">
        <v>198</v>
      </c>
      <c r="AA72" s="386">
        <f t="shared" ref="AA72:AF72" si="4">SQRT(POWER(AA70,2)+POWER(AA71,2))</f>
        <v>0.21815619791666671</v>
      </c>
      <c r="AB72" s="384">
        <f t="shared" si="4"/>
        <v>2.2000000000000002</v>
      </c>
      <c r="AC72" s="384">
        <f t="shared" si="4"/>
        <v>2.6392978873239437</v>
      </c>
      <c r="AD72" s="384">
        <f t="shared" si="4"/>
        <v>3.2999999999999989</v>
      </c>
      <c r="AE72" s="384">
        <f t="shared" si="4"/>
        <v>1.7452495833333337</v>
      </c>
      <c r="AF72" s="407">
        <f t="shared" si="4"/>
        <v>1.5000000000000004</v>
      </c>
      <c r="AG72" s="166"/>
      <c r="AH72" s="166"/>
      <c r="AI72" s="694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09"/>
    </row>
    <row r="73" spans="1:49" ht="15.75" thickBot="1" x14ac:dyDescent="0.3">
      <c r="A73" s="17"/>
      <c r="B73" s="17"/>
      <c r="C73" s="17"/>
      <c r="D73" s="17"/>
      <c r="E73" s="17"/>
      <c r="F73" s="122"/>
      <c r="G73" s="632"/>
      <c r="H73" s="44"/>
      <c r="I73" s="734" t="s">
        <v>474</v>
      </c>
      <c r="J73" s="735"/>
      <c r="K73" s="344" t="s">
        <v>56</v>
      </c>
      <c r="L73" s="344">
        <f>IF(OR(P47="",P47=0,P52="",P52=0),DEGREES(ATAN(((K52*(POWER(E47,2-E49))*(IF(AND(N52&lt;=270,N52&gt;=90),1,-1))*TAN(RADIANS(N52))/SQRT(1+POWER(TAN(RADIANS(N52)),2))/(E47+E47*E52*E27))-(N47*(POWER(E47,2-E49))*(IF(AND(L47&lt;=270,L47&gt;=90),1,-1))*TAN(RADIANS(L47))/SQRT(1+POWER(TAN(RADIANS(L47)),2))/(E47+E47*E52*E27)))/((K52*(POWER(E47,2-E49))*(IF(AND(N52&lt;=270,N52&gt;=90),1,-1))/SQRT(1+POWER(TAN(RADIANS(N52)),2))/(E47+E47*E51*E27))-(N47*(POWER(E47,2-E49))*(IF(AND(L47&lt;=270,L47&gt;=90),1,-1))/SQRT(1+POWER(TAN(RADIANS(L47)),2))/(E47+E47*E51*E27))))),DEGREES(ATAN(((K52*(POWER(E47,2-E49))*(IF(AND(P52&lt;=270,P52&gt;=90),1,-1))*TAN(RADIANS(P52))/SQRT(1+POWER(TAN(RADIANS(P52)),2))/(E47+E47*E52*E27))-(P47*(POWER(E47,2-E49))*(IF(AND(L47&lt;=270,L47&gt;=90),1,-1))*TAN(RADIANS(L47))/SQRT(1+POWER(TAN(RADIANS(L47)),2))/(E47+E47*E52*E27)))/((K52*(POWER(E47,2-E49))*(IF(AND(P52&lt;=270,P52&gt;=90),1,-1))/SQRT(1+POWER(TAN(RADIANS(P52)),2))/(E47+E47*E51*E27))-(P47*(POWER(E47,2-E49))*(IF(AND(L47&lt;=270,L47&gt;=90),1,-1))/SQRT(1+POWER(TAN(RADIANS(L47)),2))/(E47+E47*E51*E27))))))</f>
        <v>-15.000000000000021</v>
      </c>
      <c r="M73" s="344" t="s">
        <v>56</v>
      </c>
      <c r="N73" s="344">
        <f>IF(OR(Q47="",Q47=0,Q52="",Q52=0),DEGREES(ATAN(((K52*(POWER(E47,2-E49))*(IF(AND(N52&lt;=270,N52&gt;=90),1,-1))*TAN(RADIANS(N52))/SQRT(1+POWER(TAN(RADIANS(N52)),2))/(E47+E47*E52*E27))-(N47*(POWER(E47,2-E49))*(IF(AND(L47&lt;=270,L47&gt;=90),1,-1))*TAN(RADIANS(L47))/SQRT(1+POWER(TAN(RADIANS(L47)),2))/(E47+E47*E52*E27)))/((K52*(POWER(E47,2-E49))*(IF(AND(N52&lt;=270,N52&gt;=90),1,-1))/SQRT(1+POWER(TAN(RADIANS(N52)),2))/(E47+E47*E51*E27))-(N47*(POWER(E47,2-E49))*(IF(AND(L47&lt;=270,L47&gt;=90),1,-1))/SQRT(1+POWER(TAN(RADIANS(L47)),2))/(E47+E47*E51*E27))))),DEGREES(ATAN(((K52*(POWER(E47,2-E49))*(IF(AND(Q52&lt;=270,Q52&gt;=90),1,-1))*TAN(RADIANS(Q52))/SQRT(1+POWER(TAN(RADIANS(Q52)),2))/(E47+E47*E52*E27))-(Q47*(POWER(E47,2-E49))*(IF(AND(L47&lt;=270,L47&gt;=90),1,-1))*TAN(RADIANS(L47))/SQRT(1+POWER(TAN(RADIANS(L47)),2))/(E47+E47*E52*E27)))/((K52*(POWER(E47,2-E49))*(IF(AND(Q52&lt;=270,Q52&gt;=90),1,-1))/SQRT(1+POWER(TAN(RADIANS(Q52)),2))/(E47+E47*E51*E27))-(Q47*(POWER(E47,2-E49))*(IF(AND(L47&lt;=270,L47&gt;=90),1,-1))/SQRT(1+POWER(TAN(RADIANS(L47)),2))/(E47+E47*E51*E27))))))</f>
        <v>-15.000000000000021</v>
      </c>
      <c r="O73" s="344" t="s">
        <v>56</v>
      </c>
      <c r="P73" s="345">
        <f>IF(OR(R47="",R47=0,R52="",R52=0),DEGREES(ATAN(((K52*(POWER(E47,2-E49))*(IF(AND(N52&lt;=270,N52&gt;=90),1,-1))*TAN(RADIANS(N52))/SQRT(1+POWER(TAN(RADIANS(N52)),2))/(E47+E47*E52*E27))-(N47*(POWER(E47,2-E49))*(IF(AND(L47&lt;=270,L47&gt;=90),1,-1))*TAN(RADIANS(L47))/SQRT(1+POWER(TAN(RADIANS(L47)),2))/(E47+E47*E52*E27)))/((K52*(POWER(E47,2-E49))*(IF(AND(N52&lt;=270,N52&gt;=90),1,-1))/SQRT(1+POWER(TAN(RADIANS(N52)),2))/(E47+E47*E51*E27))-(N47*(POWER(E47,2-E49))*(IF(AND(L47&lt;=270,L47&gt;=90),1,-1))/SQRT(1+POWER(TAN(RADIANS(L47)),2))/(E47+E47*E51*E27))))),DEGREES(ATAN(((K52*(POWER(E47,2-E49))*(IF(AND(R52&lt;=270,R52&gt;=90),1,-1))*TAN(RADIANS(R52))/SQRT(1+POWER(TAN(RADIANS(R52)),2))/(E47+E47*E52*E27))-(R47*(POWER(E47,2-E49))*(IF(AND(L47&lt;=270,L47&gt;=90),1,-1))*TAN(RADIANS(L47))/SQRT(1+POWER(TAN(RADIANS(L47)),2))/(E47+E47*E52*E27)))/((K52*(POWER(E47,2-E49))*(IF(AND(R52&lt;=270,R52&gt;=90),1,-1))/SQRT(1+POWER(TAN(RADIANS(R52)),2))/(E47+E47*E51*E27))-(R47*(POWER(E47,2-E49))*(IF(AND(L47&lt;=270,L47&gt;=90),1,-1))/SQRT(1+POWER(TAN(RADIANS(L47)),2))/(E47+E47*E51*E27))))))</f>
        <v>-15.000000000000021</v>
      </c>
      <c r="Q73" s="17"/>
      <c r="R73" s="43"/>
      <c r="S73" s="122"/>
      <c r="T73" s="109"/>
      <c r="U73" s="44"/>
      <c r="V73" s="337" t="s">
        <v>12</v>
      </c>
      <c r="W73" s="373">
        <f>E25</f>
        <v>1.3540000000000001</v>
      </c>
      <c r="X73" s="366">
        <f>W73*(1+E52*E27)</f>
        <v>1.7452495833333337</v>
      </c>
      <c r="Y73" s="166"/>
      <c r="Z73" s="337" t="s">
        <v>197</v>
      </c>
      <c r="AA73" s="387">
        <f>IF(AA70=0,270,DEGREES(ATAN(AA71/AA70)))</f>
        <v>270</v>
      </c>
      <c r="AB73" s="385">
        <f>IF(AB70=0,90,DEGREES(ATAN(AB71/AB70)))+IF(AB71&gt;=0,IF(AB70&gt;=0,0,180),IF(AB70&gt;0,360,180))</f>
        <v>336.77260896876322</v>
      </c>
      <c r="AC73" s="385">
        <f>IF(AC70=0,90,DEGREES(ATAN(AC71/AC70)))</f>
        <v>0</v>
      </c>
      <c r="AD73" s="385">
        <f>IF(AD70=0,90,DEGREES(ATAN(AD71/AD70)))</f>
        <v>24.547415821533534</v>
      </c>
      <c r="AE73" s="385">
        <f>IF(AE70=0,90,DEGREES(ATAN(AE71/AE70)))</f>
        <v>90</v>
      </c>
      <c r="AF73" s="408">
        <f>IF(AF70=0,90,180+DEGREES(ATAN(AF71/AF70)))</f>
        <v>114.27443380271782</v>
      </c>
      <c r="AG73" s="166"/>
      <c r="AH73" s="166"/>
      <c r="AI73" s="694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09"/>
    </row>
    <row r="74" spans="1:49" ht="15.75" thickBot="1" x14ac:dyDescent="0.3">
      <c r="A74" s="17"/>
      <c r="B74" s="17"/>
      <c r="C74" s="17"/>
      <c r="D74" s="17"/>
      <c r="E74" s="17"/>
      <c r="F74" s="122"/>
      <c r="G74" s="632"/>
      <c r="H74" s="44"/>
      <c r="I74" s="728" t="s">
        <v>463</v>
      </c>
      <c r="J74" s="729"/>
      <c r="K74" s="522" t="s">
        <v>56</v>
      </c>
      <c r="L74" s="588">
        <f>(-1)*(L73-E57)</f>
        <v>2.1316282072803006E-14</v>
      </c>
      <c r="M74" s="522" t="s">
        <v>56</v>
      </c>
      <c r="N74" s="588">
        <f>(-1)*(N73-E57)</f>
        <v>2.1316282072803006E-14</v>
      </c>
      <c r="O74" s="522" t="s">
        <v>56</v>
      </c>
      <c r="P74" s="589">
        <f>(-1)*(P73-E57)</f>
        <v>2.1316282072803006E-14</v>
      </c>
      <c r="Q74" s="172" t="str">
        <f>IF(OR(IF(ISNUMBER(K74),IF(ABS(K74)&gt;5,1,0),0),IF(ISNUMBER(L74),IF(ABS(L74)&gt;5,1,0),0),IF(ISNUMBER(M74),IF(ABS(M74)&gt;5,1,0),0),IF(ISNUMBER(N74),IF(ABS(N74)&gt;5,1,0),0),IF(ISNUMBER(O74),IF(ABS(O74)&gt;5,1,0),0),IF(ISNUMBER(P74),IF(ABS(P74)&gt;5,1,0),0)),"&lt;= Err","")</f>
        <v/>
      </c>
      <c r="R74" s="43"/>
      <c r="S74" s="122"/>
      <c r="T74" s="109"/>
      <c r="U74" s="44"/>
      <c r="V74" s="337" t="s">
        <v>432</v>
      </c>
      <c r="W74" s="373">
        <f>(-1)*E53</f>
        <v>-0.16925000000000001</v>
      </c>
      <c r="X74" s="366">
        <f>W74*(1+E52*E27)</f>
        <v>-0.21815619791666671</v>
      </c>
      <c r="Y74" s="166"/>
      <c r="Z74" s="337" t="s">
        <v>196</v>
      </c>
      <c r="AA74" s="386">
        <f>AA72*E47</f>
        <v>1.0907809895833336</v>
      </c>
      <c r="AB74" s="384">
        <f>AB72*E47</f>
        <v>11</v>
      </c>
      <c r="AC74" s="384">
        <f>AC72*E47</f>
        <v>13.196489436619718</v>
      </c>
      <c r="AD74" s="384">
        <f>AD72*E47</f>
        <v>16.499999999999993</v>
      </c>
      <c r="AE74" s="384">
        <f>AE72*E47</f>
        <v>8.7262479166666687</v>
      </c>
      <c r="AF74" s="400">
        <f>AF72*E47</f>
        <v>7.5000000000000018</v>
      </c>
      <c r="AG74" s="166"/>
      <c r="AH74" s="166"/>
      <c r="AI74" s="694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09"/>
    </row>
    <row r="75" spans="1:49" ht="15.75" thickBot="1" x14ac:dyDescent="0.3">
      <c r="A75" s="17"/>
      <c r="B75" s="17"/>
      <c r="C75" s="17"/>
      <c r="D75" s="17"/>
      <c r="E75" s="17"/>
      <c r="F75" s="122"/>
      <c r="G75" s="632"/>
      <c r="H75" s="44"/>
      <c r="I75" s="17"/>
      <c r="J75" s="17"/>
      <c r="K75" s="17"/>
      <c r="L75" s="17"/>
      <c r="M75" s="17"/>
      <c r="N75" s="17"/>
      <c r="O75" s="17"/>
      <c r="P75" s="17"/>
      <c r="Q75" s="17"/>
      <c r="R75" s="43"/>
      <c r="S75" s="122"/>
      <c r="T75" s="109"/>
      <c r="U75" s="44"/>
      <c r="V75" s="44" t="s">
        <v>59</v>
      </c>
      <c r="W75" s="378">
        <f>DEGREES(ATAN(E32/E33))</f>
        <v>72.413244358301839</v>
      </c>
      <c r="X75" s="379">
        <f>DEGREES(ATAN((AC67-AB67)/(AC66-AB66)))</f>
        <v>75.191630067461105</v>
      </c>
      <c r="Y75" s="166"/>
      <c r="Z75" s="337" t="s">
        <v>197</v>
      </c>
      <c r="AA75" s="387">
        <f t="shared" ref="AA75:AF75" si="5">AA73</f>
        <v>270</v>
      </c>
      <c r="AB75" s="385">
        <f t="shared" si="5"/>
        <v>336.77260896876322</v>
      </c>
      <c r="AC75" s="385">
        <f t="shared" si="5"/>
        <v>0</v>
      </c>
      <c r="AD75" s="385">
        <f t="shared" si="5"/>
        <v>24.547415821533534</v>
      </c>
      <c r="AE75" s="385">
        <f t="shared" si="5"/>
        <v>90</v>
      </c>
      <c r="AF75" s="401">
        <f t="shared" si="5"/>
        <v>114.27443380271782</v>
      </c>
      <c r="AG75" s="166"/>
      <c r="AH75" s="166"/>
      <c r="AI75" s="694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09"/>
    </row>
    <row r="76" spans="1:49" x14ac:dyDescent="0.25">
      <c r="A76" s="17"/>
      <c r="B76" s="17"/>
      <c r="C76" s="17"/>
      <c r="D76" s="17"/>
      <c r="E76" s="17"/>
      <c r="F76" s="122"/>
      <c r="G76" s="109"/>
      <c r="H76" s="44"/>
      <c r="I76" s="17"/>
      <c r="J76" s="17"/>
      <c r="K76" s="17"/>
      <c r="L76" s="17"/>
      <c r="M76" s="17"/>
      <c r="N76" s="17"/>
      <c r="O76" s="17"/>
      <c r="P76" s="17"/>
      <c r="Q76" s="17"/>
      <c r="R76" s="43"/>
      <c r="S76" s="122"/>
      <c r="T76" s="109"/>
      <c r="U76" s="44"/>
      <c r="V76" s="44" t="s">
        <v>60</v>
      </c>
      <c r="W76" s="405">
        <f>E56</f>
        <v>115</v>
      </c>
      <c r="X76" s="406">
        <f>DEGREES(ATAN((AE67-AF67)/(AE66-AF66)))+180</f>
        <v>111.2525131773901</v>
      </c>
      <c r="Y76" s="166"/>
      <c r="Z76" s="44" t="s">
        <v>192</v>
      </c>
      <c r="AA76" s="386">
        <f>AA70/(1+E51*E27)</f>
        <v>0</v>
      </c>
      <c r="AB76" s="384">
        <f>AB70/(1+E51*E27)</f>
        <v>1.8805123352174735</v>
      </c>
      <c r="AC76" s="384">
        <f>AC70/(1+E51*E27)</f>
        <v>2.4550000000000001</v>
      </c>
      <c r="AD76" s="384">
        <f>AD70/(1+E51*E27)</f>
        <v>2.792132119097944</v>
      </c>
      <c r="AE76" s="384">
        <f>AE70/(1+E51*E27)</f>
        <v>0</v>
      </c>
      <c r="AF76" s="400">
        <f>AF70/(1+E51*E27)</f>
        <v>-0.57360098627994327</v>
      </c>
      <c r="AG76" s="166"/>
      <c r="AH76" s="166"/>
      <c r="AI76" s="694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09"/>
    </row>
    <row r="77" spans="1:49" ht="15.75" thickBot="1" x14ac:dyDescent="0.3">
      <c r="A77" s="17"/>
      <c r="B77" s="17"/>
      <c r="C77" s="17"/>
      <c r="D77" s="17"/>
      <c r="E77" s="17"/>
      <c r="F77" s="122"/>
      <c r="G77" s="109"/>
      <c r="H77" s="44"/>
      <c r="I77" s="43" t="s">
        <v>480</v>
      </c>
      <c r="J77" s="17"/>
      <c r="K77" s="17"/>
      <c r="L77" s="17"/>
      <c r="M77" s="17"/>
      <c r="N77" s="17"/>
      <c r="O77" s="17"/>
      <c r="P77" s="17"/>
      <c r="Q77" s="17"/>
      <c r="R77" s="43"/>
      <c r="S77" s="122"/>
      <c r="T77" s="109"/>
      <c r="U77" s="44"/>
      <c r="V77" s="44" t="s">
        <v>61</v>
      </c>
      <c r="W77" s="405">
        <f>E57</f>
        <v>-15</v>
      </c>
      <c r="X77" s="406">
        <f>DEGREES(ATAN((AB67-AA67)/(AB66-AA66)))</f>
        <v>-17.8100485208798</v>
      </c>
      <c r="Y77" s="166"/>
      <c r="Z77" s="44" t="s">
        <v>193</v>
      </c>
      <c r="AA77" s="387">
        <f>AA71/(1+E52*E27)</f>
        <v>-0.16925000000000001</v>
      </c>
      <c r="AB77" s="385">
        <f>AB71/(1+E52*E27)</f>
        <v>-0.67313176157828702</v>
      </c>
      <c r="AC77" s="385">
        <f>AC71/(1+E52*E27)</f>
        <v>0</v>
      </c>
      <c r="AD77" s="385">
        <f>AD71/(1+E52*E27)</f>
        <v>1.0636280940554839</v>
      </c>
      <c r="AE77" s="385">
        <f>AE71/(1+E52*E27)</f>
        <v>1.3540000000000001</v>
      </c>
      <c r="AF77" s="401">
        <f>AF71/(1+E52*E27)</f>
        <v>1.0608412846884476</v>
      </c>
      <c r="AG77" s="166"/>
      <c r="AH77" s="166"/>
      <c r="AI77" s="694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09"/>
    </row>
    <row r="78" spans="1:49" ht="15.75" thickBot="1" x14ac:dyDescent="0.3">
      <c r="A78" s="17"/>
      <c r="B78" s="17"/>
      <c r="C78" s="17"/>
      <c r="D78" s="17"/>
      <c r="E78" s="17"/>
      <c r="F78" s="122"/>
      <c r="G78" s="109"/>
      <c r="H78" s="44"/>
      <c r="I78" s="17"/>
      <c r="J78" s="17"/>
      <c r="K78" s="17"/>
      <c r="L78" s="17"/>
      <c r="M78" s="17"/>
      <c r="N78" s="17"/>
      <c r="O78" s="17"/>
      <c r="P78" s="17"/>
      <c r="Q78" s="17"/>
      <c r="R78" s="43"/>
      <c r="S78" s="122"/>
      <c r="T78" s="109"/>
      <c r="U78" s="44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694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09"/>
    </row>
    <row r="79" spans="1:49" x14ac:dyDescent="0.25">
      <c r="A79" s="17"/>
      <c r="B79" s="17"/>
      <c r="C79" s="17"/>
      <c r="D79" s="17"/>
      <c r="E79" s="17"/>
      <c r="F79" s="122"/>
      <c r="G79" s="109"/>
      <c r="H79" s="44"/>
      <c r="I79" s="721" t="s">
        <v>0</v>
      </c>
      <c r="J79" s="721" t="s">
        <v>65</v>
      </c>
      <c r="K79" s="763"/>
      <c r="L79" s="761" t="s">
        <v>124</v>
      </c>
      <c r="M79" s="761"/>
      <c r="N79" s="761"/>
      <c r="O79" s="761"/>
      <c r="P79" s="761"/>
      <c r="Q79" s="762"/>
      <c r="R79" s="43"/>
      <c r="S79" s="122"/>
      <c r="T79" s="109"/>
      <c r="U79" s="166"/>
      <c r="V79" s="678" t="s">
        <v>575</v>
      </c>
      <c r="W79" s="103"/>
      <c r="X79" s="102"/>
      <c r="Y79" s="102"/>
      <c r="Z79" s="102"/>
      <c r="AA79" s="102"/>
      <c r="AB79" s="166"/>
      <c r="AC79" s="166"/>
      <c r="AD79" s="166"/>
      <c r="AE79" s="682" t="s">
        <v>559</v>
      </c>
      <c r="AF79" s="683"/>
      <c r="AG79" s="64"/>
      <c r="AH79" s="64"/>
      <c r="AI79" s="694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09"/>
    </row>
    <row r="80" spans="1:49" ht="15.75" thickBot="1" x14ac:dyDescent="0.3">
      <c r="A80" s="17"/>
      <c r="B80" s="17"/>
      <c r="C80" s="17"/>
      <c r="D80" s="17"/>
      <c r="E80" s="17"/>
      <c r="F80" s="122"/>
      <c r="G80" s="109"/>
      <c r="H80" s="44"/>
      <c r="I80" s="722"/>
      <c r="J80" s="630" t="s">
        <v>52</v>
      </c>
      <c r="K80" s="517" t="s">
        <v>53</v>
      </c>
      <c r="L80" s="544" t="s">
        <v>52</v>
      </c>
      <c r="M80" s="516" t="s">
        <v>53</v>
      </c>
      <c r="N80" s="516" t="s">
        <v>52</v>
      </c>
      <c r="O80" s="516" t="s">
        <v>53</v>
      </c>
      <c r="P80" s="516" t="s">
        <v>52</v>
      </c>
      <c r="Q80" s="517" t="s">
        <v>53</v>
      </c>
      <c r="R80" s="43"/>
      <c r="S80" s="122"/>
      <c r="T80" s="109"/>
      <c r="U80" s="166"/>
      <c r="V80" s="43" t="s">
        <v>194</v>
      </c>
      <c r="W80" s="97">
        <f>(W81/TAN(RADIANS(X75)))-X72</f>
        <v>-3.1006854766096588</v>
      </c>
      <c r="X80" s="97">
        <f>(X81/TAN(RADIANS(X75)))-X72</f>
        <v>-2.1779102980382286</v>
      </c>
      <c r="Y80" s="97">
        <f>(Y81/TAN(RADIANS(X75)))+X72</f>
        <v>3.1006854766096588</v>
      </c>
      <c r="Z80" s="97">
        <f>(Z81/TAN(RADIANS(X75)))+X72</f>
        <v>2.1779102980382286</v>
      </c>
      <c r="AA80" s="97">
        <f>W80</f>
        <v>-3.1006854766096588</v>
      </c>
      <c r="AB80" s="166"/>
      <c r="AC80" s="166"/>
      <c r="AD80" s="166"/>
      <c r="AE80" s="684" t="s">
        <v>560</v>
      </c>
      <c r="AF80" s="684" t="str">
        <f>CONCATENATE("Уставки ИПФК:",CHAR(10),"   - ",D24," = ",E24," Ом,",CHAR(10),"   - ",D25," = ",E25," Ом,",CHAR(10),"   - ",D26," = ",E26,"% (",ROUND(E53,3)," Ом),",CHAR(10),"   - ","kум"," = ",E27,",",CHAR(10),"   - ",D54," = ",ROUND(E54,2),CHAR(176),",",CHAR(10),"   - ","fi_2"," = ",E56,CHAR(176),",",CHAR(10),"   - ","fi_3"," = ",E57,CHAR(176),",",CHAR(10),"   - ",D51," = ",ROUND(E51,3),",",CHAR(10),"   - ",D52," = ",ROUND(E52,3),".")</f>
        <v>Уставки ИПФК:
   - Rуст ипфк = 2,455 Ом,
   - Xуст ипфк = 1,354 Ом,
   - Xуст ипфк1 = 12,5% (0,169 Ом),
   - kум = 0,5,
   - fi_1 = 72,41°,
   - fi_2 = 115°,
   - fi_3 = -15°,
   - Kr = 0,15,
   - Kx = 0,578.</v>
      </c>
      <c r="AG80" s="64" t="s">
        <v>56</v>
      </c>
      <c r="AH80" s="64"/>
      <c r="AI80" s="694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09"/>
    </row>
    <row r="81" spans="1:49" x14ac:dyDescent="0.25">
      <c r="A81" s="17"/>
      <c r="B81" s="17"/>
      <c r="C81" s="17"/>
      <c r="D81" s="17"/>
      <c r="E81" s="17"/>
      <c r="F81" s="122"/>
      <c r="G81" s="109"/>
      <c r="H81" s="44"/>
      <c r="I81" s="598" t="s">
        <v>47</v>
      </c>
      <c r="J81" s="611">
        <f>E20</f>
        <v>3.927</v>
      </c>
      <c r="K81" s="612">
        <f>E25</f>
        <v>1.3540000000000001</v>
      </c>
      <c r="L81" s="545">
        <f t="shared" ref="L81:Q82" si="6">K63</f>
        <v>3.927</v>
      </c>
      <c r="M81" s="512">
        <f t="shared" si="6"/>
        <v>1.3540000000000003</v>
      </c>
      <c r="N81" s="512">
        <f t="shared" si="6"/>
        <v>3.927</v>
      </c>
      <c r="O81" s="512">
        <f t="shared" si="6"/>
        <v>1.3540000000000003</v>
      </c>
      <c r="P81" s="512">
        <f t="shared" si="6"/>
        <v>3.927</v>
      </c>
      <c r="Q81" s="513">
        <f t="shared" si="6"/>
        <v>1.3540000000000003</v>
      </c>
      <c r="R81" s="43"/>
      <c r="S81" s="122"/>
      <c r="T81" s="109"/>
      <c r="U81" s="166"/>
      <c r="V81" s="43" t="s">
        <v>195</v>
      </c>
      <c r="W81" s="97">
        <f>-1*X73</f>
        <v>-1.7452495833333337</v>
      </c>
      <c r="X81" s="97">
        <f>X73</f>
        <v>1.7452495833333337</v>
      </c>
      <c r="Y81" s="97">
        <f>X73</f>
        <v>1.7452495833333337</v>
      </c>
      <c r="Z81" s="97">
        <f>-1*X73</f>
        <v>-1.7452495833333337</v>
      </c>
      <c r="AA81" s="97">
        <f>W81</f>
        <v>-1.7452495833333337</v>
      </c>
      <c r="AB81" s="166"/>
      <c r="AC81" s="166"/>
      <c r="AD81" s="166"/>
      <c r="AE81" s="685" t="s">
        <v>561</v>
      </c>
      <c r="AF81" s="685" t="str">
        <f>CONCATENATE("Характеристика ИПФК.",CHAR(10),CHAR(10),AF80)</f>
        <v>Характеристика ИПФК.
Уставки ИПФК:
   - Rуст ипфк = 2,455 Ом,
   - Xуст ипфк = 1,354 Ом,
   - Xуст ипфк1 = 12,5% (0,169 Ом),
   - kум = 0,5,
   - fi_1 = 72,41°,
   - fi_2 = 115°,
   - fi_3 = -15°,
   - Kr = 0,15,
   - Kx = 0,578.</v>
      </c>
      <c r="AG81" s="64" t="s">
        <v>56</v>
      </c>
      <c r="AH81" s="64"/>
      <c r="AI81" s="694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09"/>
    </row>
    <row r="82" spans="1:49" x14ac:dyDescent="0.25">
      <c r="A82" s="17"/>
      <c r="B82" s="17"/>
      <c r="C82" s="17"/>
      <c r="D82" s="17"/>
      <c r="E82" s="17"/>
      <c r="F82" s="122"/>
      <c r="G82" s="109"/>
      <c r="H82" s="44"/>
      <c r="I82" s="600" t="s">
        <v>54</v>
      </c>
      <c r="J82" s="613" t="s">
        <v>455</v>
      </c>
      <c r="K82" s="343" t="s">
        <v>455</v>
      </c>
      <c r="L82" s="531">
        <f t="shared" si="6"/>
        <v>0</v>
      </c>
      <c r="M82" s="508">
        <f t="shared" si="6"/>
        <v>1.6399158413960953E-14</v>
      </c>
      <c r="N82" s="508">
        <f t="shared" si="6"/>
        <v>0</v>
      </c>
      <c r="O82" s="508">
        <f t="shared" si="6"/>
        <v>1.6399158413960953E-14</v>
      </c>
      <c r="P82" s="508">
        <f t="shared" si="6"/>
        <v>0</v>
      </c>
      <c r="Q82" s="509">
        <f t="shared" si="6"/>
        <v>1.6399158413960953E-14</v>
      </c>
      <c r="R82" s="43"/>
      <c r="S82" s="122"/>
      <c r="T82" s="109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685" t="s">
        <v>562</v>
      </c>
      <c r="AF82" s="685" t="str">
        <f>CONCATENATE("Характеристики уставок",CHAR(10),"рабочей области ИПФК. ",CHAR(10),CHAR(10),AF80)</f>
        <v>Характеристики уставок
рабочей области ИПФК. 
Уставки ИПФК:
   - Rуст ипфк = 2,455 Ом,
   - Xуст ипфк = 1,354 Ом,
   - Xуст ипфк1 = 12,5% (0,169 Ом),
   - kум = 0,5,
   - fi_1 = 72,41°,
   - fi_2 = 115°,
   - fi_3 = -15°,
   - Kr = 0,15,
   - Kx = 0,578.</v>
      </c>
      <c r="AG82" s="64" t="s">
        <v>56</v>
      </c>
      <c r="AH82" s="64"/>
      <c r="AI82" s="694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09"/>
    </row>
    <row r="83" spans="1:49" x14ac:dyDescent="0.25">
      <c r="A83" s="17"/>
      <c r="B83" s="17"/>
      <c r="C83" s="17"/>
      <c r="D83" s="17"/>
      <c r="E83" s="17"/>
      <c r="F83" s="122"/>
      <c r="G83" s="109"/>
      <c r="H83" s="44"/>
      <c r="I83" s="540" t="str">
        <f>CONCATENATE("U, B (при I = ",E47,"A / 0",CHAR(176),")")</f>
        <v>U, B (при I = 5A / 0°)</v>
      </c>
      <c r="J83" s="623" t="s">
        <v>56</v>
      </c>
      <c r="K83" s="624" t="s">
        <v>56</v>
      </c>
      <c r="L83" s="532" t="str">
        <f>CONCATENATE(TEXT(ABS(IF(OR(P43="",P43=0),N43,P43)*IF(E49=1,E47,1)),"0,00")," / ",TEXT(L43,"0,0"),CHAR(176))</f>
        <v>30,98 / 90,0°</v>
      </c>
      <c r="M83" s="518" t="str">
        <f>CONCATENATE(TEXT(ABS(IF(OR(P48="",P48=0),N48,P48)*IF(E49=1,E47,1)),"0,00")," / ",TEXT(L48,"0,0"),CHAR(176))</f>
        <v>8,73 / 90,0°</v>
      </c>
      <c r="N83" s="518" t="str">
        <f>CONCATENATE(TEXT(ABS(IF(OR(Q43="",Q43=0),N43,Q43)*IF(E49=1,E47,1)),"0,00")," / ",TEXT(L43,"0,0"),CHAR(176))</f>
        <v>30,98 / 90,0°</v>
      </c>
      <c r="O83" s="518" t="str">
        <f>CONCATENATE(TEXT(ABS(IF(OR(Q48="",Q48=0),N48,Q48)*IF(E49=1,E47,1)),"0,00")," / ",TEXT(L48,"0,0"),CHAR(176))</f>
        <v>8,73 / 90,0°</v>
      </c>
      <c r="P83" s="518" t="str">
        <f>CONCATENATE(TEXT(ABS(IF(OR(R43="",R43=0),N43,R43)*IF(E49=1,E47,1)),"0,00")," / ",TEXT(L43,"0,0"),CHAR(176))</f>
        <v>30,98 / 90,0°</v>
      </c>
      <c r="Q83" s="520" t="str">
        <f>CONCATENATE(TEXT(ABS(IF(OR(R48="",R48=0),N48,R48)*IF(E49=1,E47,1)),"0,00")," / ",TEXT(L48,"0,0"),CHAR(176))</f>
        <v>8,73 / 90,0°</v>
      </c>
      <c r="R83" s="43"/>
      <c r="S83" s="122"/>
      <c r="T83" s="109"/>
      <c r="U83" s="166"/>
      <c r="V83" s="64" t="s">
        <v>569</v>
      </c>
      <c r="W83" s="64"/>
      <c r="X83" s="64"/>
      <c r="Y83" s="166"/>
      <c r="Z83" s="64" t="s">
        <v>576</v>
      </c>
      <c r="AA83" s="103"/>
      <c r="AB83" s="102"/>
      <c r="AC83" s="166"/>
      <c r="AD83" s="64" t="s">
        <v>577</v>
      </c>
      <c r="AE83" s="103"/>
      <c r="AF83" s="102"/>
      <c r="AI83" s="694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09"/>
    </row>
    <row r="84" spans="1:49" x14ac:dyDescent="0.25">
      <c r="A84" s="17"/>
      <c r="B84" s="17"/>
      <c r="C84" s="17"/>
      <c r="D84" s="17"/>
      <c r="E84" s="17"/>
      <c r="F84" s="122"/>
      <c r="G84" s="109"/>
      <c r="H84" s="44"/>
      <c r="I84" s="541" t="s">
        <v>46</v>
      </c>
      <c r="J84" s="621">
        <f>E19</f>
        <v>3.5449999999999999</v>
      </c>
      <c r="K84" s="622">
        <f>E24</f>
        <v>2.4550000000000001</v>
      </c>
      <c r="L84" s="533">
        <f t="shared" ref="L84:Q85" si="7">K65</f>
        <v>3.544999999999999</v>
      </c>
      <c r="M84" s="494">
        <f t="shared" si="7"/>
        <v>2.4550000000000001</v>
      </c>
      <c r="N84" s="494">
        <f t="shared" si="7"/>
        <v>3.544999999999999</v>
      </c>
      <c r="O84" s="494">
        <f t="shared" si="7"/>
        <v>2.4550000000000001</v>
      </c>
      <c r="P84" s="494">
        <f t="shared" si="7"/>
        <v>3.544999999999999</v>
      </c>
      <c r="Q84" s="495">
        <f t="shared" si="7"/>
        <v>2.4550000000000001</v>
      </c>
      <c r="R84" s="43"/>
      <c r="S84" s="122"/>
      <c r="T84" s="109"/>
      <c r="U84" s="166"/>
      <c r="V84" s="43" t="s">
        <v>194</v>
      </c>
      <c r="W84" s="97">
        <f>W85/TAN(RADIANS(X75))</f>
        <v>-0.46138758928571499</v>
      </c>
      <c r="X84" s="97">
        <f>X85/TAN(RADIANS(X75))</f>
        <v>0.46138758928571499</v>
      </c>
      <c r="Y84" s="166"/>
      <c r="Z84" s="43" t="s">
        <v>194</v>
      </c>
      <c r="AA84" s="97">
        <f>-1.1*X72</f>
        <v>-2.9032276760563382</v>
      </c>
      <c r="AB84" s="97">
        <f>1.1*X72</f>
        <v>2.9032276760563382</v>
      </c>
      <c r="AC84" s="166"/>
      <c r="AD84" s="43" t="s">
        <v>194</v>
      </c>
      <c r="AE84" s="97">
        <f>(AE85-X74)/TAN(RADIANS(X76))</f>
        <v>0.69301113654033097</v>
      </c>
      <c r="AF84" s="97">
        <f>(AF85-X74)/TAN(RADIANS(X76))</f>
        <v>-0.86270578035229839</v>
      </c>
      <c r="AG84" s="166"/>
      <c r="AH84" s="166"/>
      <c r="AI84" s="694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09"/>
    </row>
    <row r="85" spans="1:49" x14ac:dyDescent="0.25">
      <c r="A85" s="17"/>
      <c r="B85" s="17"/>
      <c r="C85" s="17"/>
      <c r="D85" s="17"/>
      <c r="E85" s="17"/>
      <c r="F85" s="122"/>
      <c r="G85" s="109"/>
      <c r="H85" s="44"/>
      <c r="I85" s="600" t="s">
        <v>55</v>
      </c>
      <c r="J85" s="613" t="s">
        <v>455</v>
      </c>
      <c r="K85" s="343" t="s">
        <v>455</v>
      </c>
      <c r="L85" s="531">
        <f t="shared" si="7"/>
        <v>-2.5054398299016229E-14</v>
      </c>
      <c r="M85" s="508">
        <f t="shared" si="7"/>
        <v>0</v>
      </c>
      <c r="N85" s="508">
        <f t="shared" si="7"/>
        <v>-2.5054398299016229E-14</v>
      </c>
      <c r="O85" s="508">
        <f t="shared" si="7"/>
        <v>0</v>
      </c>
      <c r="P85" s="508">
        <f t="shared" si="7"/>
        <v>-2.5054398299016229E-14</v>
      </c>
      <c r="Q85" s="509">
        <f t="shared" si="7"/>
        <v>0</v>
      </c>
      <c r="R85" s="43"/>
      <c r="S85" s="122"/>
      <c r="T85" s="109"/>
      <c r="U85" s="166"/>
      <c r="V85" s="43" t="s">
        <v>195</v>
      </c>
      <c r="W85" s="97">
        <f>-1*X73</f>
        <v>-1.7452495833333337</v>
      </c>
      <c r="X85" s="97">
        <f>X73</f>
        <v>1.7452495833333337</v>
      </c>
      <c r="Y85" s="166"/>
      <c r="Z85" s="43" t="s">
        <v>195</v>
      </c>
      <c r="AA85" s="97">
        <f>AA84*TAN(RADIANS(X77))+X74</f>
        <v>0.71452991988946868</v>
      </c>
      <c r="AB85" s="97">
        <f>AB84*TAN(RADIANS(X77))+X74</f>
        <v>-1.150842315722802</v>
      </c>
      <c r="AC85" s="166"/>
      <c r="AD85" s="43" t="s">
        <v>195</v>
      </c>
      <c r="AE85" s="97">
        <f>-1*ROUNDUP(1.1*X73,1)</f>
        <v>-2</v>
      </c>
      <c r="AF85" s="97">
        <f>ROUNDUP(1.1*X73,1)</f>
        <v>2</v>
      </c>
      <c r="AG85" s="166"/>
      <c r="AH85" s="166"/>
      <c r="AI85" s="694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09"/>
    </row>
    <row r="86" spans="1:49" ht="25.5" x14ac:dyDescent="0.25">
      <c r="A86" s="17"/>
      <c r="B86" s="17"/>
      <c r="C86" s="17"/>
      <c r="D86" s="17"/>
      <c r="E86" s="17"/>
      <c r="F86" s="122"/>
      <c r="G86" s="109"/>
      <c r="H86" s="44"/>
      <c r="I86" s="540" t="str">
        <f>I83</f>
        <v>U, B (при I = 5A / 0°)</v>
      </c>
      <c r="J86" s="623" t="s">
        <v>56</v>
      </c>
      <c r="K86" s="624" t="s">
        <v>56</v>
      </c>
      <c r="L86" s="532" t="str">
        <f>CONCATENATE(TEXT(ABS(IF(OR(P41="",P41=0),N41,P41)*IF(E49=1,E47,1)),"0,00")," / ",TEXT(L41,"0,0"),CHAR(176))&amp;IF(L41=0,"",CONCATENATE(CHAR(10),TEXT(ABS(K42*IF(E49=1,E47,1)),"0,00")," / ",TEXT(IF(OR(P42="",P42=0),N42,P42),"0,0"),CHAR(176)))</f>
        <v>21,92 / 12,0°
39,00 / 46,4°</v>
      </c>
      <c r="M86" s="518" t="str">
        <f>CONCATENATE(TEXT(ABS(IF(OR(P49="",P49=0),N49,P49)*IF(E49=1,E47,1)),"0,00")," / ",TEXT(L49,"0,0"),CHAR(176))&amp;IF(L49=0,"",CONCATENATE(CHAR(10),TEXT(ABS(K50*IF(E49=1,E47,1)),"0,00")," / ",TEXT(IF(OR(P50="",P50=0),N50,P50),"0,0"),CHAR(176)))</f>
        <v>13,20 / 0,0°</v>
      </c>
      <c r="N86" s="518" t="str">
        <f>CONCATENATE(TEXT(ABS(IF(OR(Q41="",Q41=0),N41,Q41)*IF(E49=1,E47,1)),"0,00")," / ",TEXT(L41,"0,0"),CHAR(176))&amp;IF(L41=0,"",CONCATENATE(CHAR(10),TEXT(ABS(K42*IF(E49=1,E47,1)),"0,00")," / ",TEXT(IF(OR(Q42="",Q42=0),N42,Q42),"0,0"),CHAR(176)))</f>
        <v>21,92 / 12,0°
39,00 / 46,4°</v>
      </c>
      <c r="O86" s="518" t="str">
        <f>CONCATENATE(TEXT(ABS(IF(OR(Q49="",Q49=0),N49,Q49)*IF(E49=1,E47,1)),"0,00")," / ",TEXT(L49,"0,0"),CHAR(176))&amp;IF(L49=0,"",CONCATENATE(CHAR(10),TEXT(ABS(K50*IF(E49=1,E47,1)),"0,00")," / ",TEXT(IF(OR(Q50="",Q50=0),N50,Q50),"0,0"),CHAR(176)))</f>
        <v>13,20 / 0,0°</v>
      </c>
      <c r="P86" s="518" t="str">
        <f>CONCATENATE(TEXT(ABS(IF(OR(R41="",R41=0),N41,R41)*IF(E49=1,E47,1)),"0,00")," / ",TEXT(L41,"0,0"),CHAR(176))&amp;IF(L41=0,"",CONCATENATE(CHAR(10),TEXT(ABS(K42*IF(E49=1,E47,1)),"0,00")," / ",TEXT(IF(OR(R42="",R42=0),N42,R42),"0,0"),CHAR(176)))</f>
        <v>21,92 / 12,0°
39,00 / 46,4°</v>
      </c>
      <c r="Q86" s="520" t="str">
        <f>CONCATENATE(TEXT(ABS(IF(OR(R49="",R49=0),N49,R49)*IF(E49=1,E47,1)),"0,00")," / ",TEXT(L49,"0,0"),CHAR(176))&amp;IF(L49=0,"",CONCATENATE(CHAR(10),TEXT(ABS(K50*IF(E49=1,E47,1)),"0,00")," / ",TEXT(IF(OR(R50="",R50=0),N50,R50),"0,0"),CHAR(176)))</f>
        <v>13,20 / 0,0°</v>
      </c>
      <c r="R86" s="43"/>
      <c r="S86" s="122"/>
      <c r="T86" s="109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09"/>
    </row>
    <row r="87" spans="1:49" ht="25.5" x14ac:dyDescent="0.25">
      <c r="A87" s="17"/>
      <c r="B87" s="17"/>
      <c r="C87" s="17"/>
      <c r="D87" s="17"/>
      <c r="E87" s="17"/>
      <c r="F87" s="122"/>
      <c r="G87" s="109"/>
      <c r="H87" s="44"/>
      <c r="I87" s="541" t="s">
        <v>479</v>
      </c>
      <c r="J87" s="621">
        <f>E21</f>
        <v>0.39300000000000002</v>
      </c>
      <c r="K87" s="622">
        <f>E53</f>
        <v>0.16925000000000001</v>
      </c>
      <c r="L87" s="533">
        <f t="shared" ref="L87:Q88" si="8">K67</f>
        <v>0.39300000000000002</v>
      </c>
      <c r="M87" s="494">
        <f t="shared" si="8"/>
        <v>0.16925000000000004</v>
      </c>
      <c r="N87" s="494">
        <f t="shared" si="8"/>
        <v>0.39300000000000002</v>
      </c>
      <c r="O87" s="494">
        <f t="shared" si="8"/>
        <v>0.16925000000000004</v>
      </c>
      <c r="P87" s="494">
        <f t="shared" si="8"/>
        <v>0.39300000000000002</v>
      </c>
      <c r="Q87" s="495">
        <f t="shared" si="8"/>
        <v>0.16925000000000004</v>
      </c>
      <c r="R87" s="43"/>
      <c r="S87" s="122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109"/>
      <c r="AG87" s="109"/>
      <c r="AH87" s="109"/>
      <c r="AI87" s="109"/>
      <c r="AJ87" s="109"/>
      <c r="AK87" s="109"/>
      <c r="AL87" s="109"/>
      <c r="AM87" s="109"/>
      <c r="AN87" s="109"/>
      <c r="AO87" s="109"/>
      <c r="AP87" s="109"/>
      <c r="AQ87" s="109"/>
      <c r="AR87" s="109"/>
      <c r="AS87" s="109"/>
      <c r="AT87" s="109"/>
      <c r="AU87" s="109"/>
      <c r="AV87" s="109"/>
      <c r="AW87" s="109"/>
    </row>
    <row r="88" spans="1:49" x14ac:dyDescent="0.25">
      <c r="A88" s="17"/>
      <c r="B88" s="17"/>
      <c r="C88" s="17"/>
      <c r="D88" s="17"/>
      <c r="E88" s="17"/>
      <c r="F88" s="122"/>
      <c r="G88" s="109"/>
      <c r="H88" s="44"/>
      <c r="I88" s="600" t="s">
        <v>54</v>
      </c>
      <c r="J88" s="613" t="s">
        <v>455</v>
      </c>
      <c r="K88" s="343" t="s">
        <v>455</v>
      </c>
      <c r="L88" s="531">
        <f t="shared" si="8"/>
        <v>0</v>
      </c>
      <c r="M88" s="508">
        <f t="shared" si="8"/>
        <v>1.6399158413960953E-14</v>
      </c>
      <c r="N88" s="508">
        <f t="shared" si="8"/>
        <v>0</v>
      </c>
      <c r="O88" s="508">
        <f t="shared" si="8"/>
        <v>1.6399158413960953E-14</v>
      </c>
      <c r="P88" s="508">
        <f t="shared" si="8"/>
        <v>0</v>
      </c>
      <c r="Q88" s="509">
        <f t="shared" si="8"/>
        <v>1.6399158413960953E-14</v>
      </c>
      <c r="R88" s="43"/>
      <c r="S88" s="122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109"/>
      <c r="AG88" s="109"/>
      <c r="AH88" s="109"/>
      <c r="AI88" s="109"/>
      <c r="AJ88" s="109"/>
      <c r="AK88" s="109"/>
      <c r="AL88" s="109"/>
      <c r="AM88" s="109"/>
      <c r="AN88" s="109"/>
      <c r="AO88" s="109"/>
      <c r="AP88" s="109"/>
      <c r="AQ88" s="109"/>
      <c r="AR88" s="109"/>
      <c r="AS88" s="109"/>
      <c r="AT88" s="109"/>
      <c r="AU88" s="109"/>
      <c r="AV88" s="109"/>
      <c r="AW88" s="109"/>
    </row>
    <row r="89" spans="1:49" x14ac:dyDescent="0.25">
      <c r="A89" s="17"/>
      <c r="B89" s="17"/>
      <c r="C89" s="17"/>
      <c r="D89" s="17"/>
      <c r="E89" s="17"/>
      <c r="F89" s="122"/>
      <c r="G89" s="109"/>
      <c r="H89" s="44"/>
      <c r="I89" s="540" t="str">
        <f>I83</f>
        <v>U, B (при I = 5A / 0°)</v>
      </c>
      <c r="J89" s="623" t="s">
        <v>56</v>
      </c>
      <c r="K89" s="624" t="s">
        <v>56</v>
      </c>
      <c r="L89" s="532" t="str">
        <f>CONCATENATE(TEXT(ABS(IF(OR(P40="",P40=0),N40,P40)*IF(E49=1,E47,1)),"0,00")," / ",TEXT(L40,"0,0"),CHAR(176))</f>
        <v>3,10 / 90,0°</v>
      </c>
      <c r="M89" s="518" t="str">
        <f>CONCATENATE(TEXT(ABS(IF(OR(P47="",P47=0),N47,P47)*IF(E49=1,E47,1)),"0,00")," / ",TEXT(L47,"0,0"),CHAR(176))</f>
        <v>1,09 / 270,0°</v>
      </c>
      <c r="N89" s="518" t="str">
        <f>CONCATENATE(TEXT(ABS(IF(OR(Q40="",Q40=0),N40,Q40)*IF(E49=1,E47,1)),"0,00")," / ",TEXT(L40,"0,0"),CHAR(176))</f>
        <v>3,10 / 90,0°</v>
      </c>
      <c r="O89" s="518" t="str">
        <f>CONCATENATE(TEXT(ABS(IF(OR(Q47="",Q47=0),N47,Q47)*IF(E49=1,E47,1)),"0,00")," / ",TEXT(L47,"0,0"),CHAR(176))</f>
        <v>1,09 / 270,0°</v>
      </c>
      <c r="P89" s="518" t="str">
        <f>CONCATENATE(TEXT(ABS(IF(OR(R40="",R40=0),N40,R40)*IF(E49=1,E47,1)),"0,00")," / ",TEXT(L40,"0,0"),CHAR(176))</f>
        <v>3,10 / 90,0°</v>
      </c>
      <c r="Q89" s="520" t="str">
        <f>CONCATENATE(TEXT(ABS(IF(OR(R47="",R47=0),N47,R47)*IF(E49=1,E47,1)),"0,00")," / ",TEXT(L47,"0,0"),CHAR(176))</f>
        <v>1,09 / 270,0°</v>
      </c>
      <c r="R89" s="43"/>
      <c r="S89" s="122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109"/>
      <c r="AG89" s="109"/>
      <c r="AH89" s="109"/>
      <c r="AI89" s="109"/>
      <c r="AJ89" s="109"/>
      <c r="AK89" s="109"/>
      <c r="AL89" s="109"/>
      <c r="AM89" s="109"/>
      <c r="AN89" s="109"/>
      <c r="AO89" s="109"/>
      <c r="AP89" s="109"/>
      <c r="AQ89" s="109"/>
      <c r="AR89" s="109"/>
      <c r="AS89" s="109"/>
      <c r="AT89" s="109"/>
      <c r="AU89" s="109"/>
      <c r="AV89" s="109"/>
      <c r="AW89" s="109"/>
    </row>
    <row r="90" spans="1:49" x14ac:dyDescent="0.25">
      <c r="A90" s="17"/>
      <c r="B90" s="17"/>
      <c r="C90" s="17"/>
      <c r="D90" s="17"/>
      <c r="E90" s="17"/>
      <c r="F90" s="122"/>
      <c r="G90" s="109"/>
      <c r="H90" s="44"/>
      <c r="I90" s="541" t="s">
        <v>458</v>
      </c>
      <c r="J90" s="625">
        <f>E54</f>
        <v>72.413244358301839</v>
      </c>
      <c r="K90" s="626">
        <f>E54</f>
        <v>72.413244358301839</v>
      </c>
      <c r="L90" s="534">
        <f t="shared" ref="L90:Q91" si="9">K69</f>
        <v>72.413244358301839</v>
      </c>
      <c r="M90" s="496">
        <f t="shared" si="9"/>
        <v>72.413244358301824</v>
      </c>
      <c r="N90" s="496">
        <f t="shared" si="9"/>
        <v>72.413244358301839</v>
      </c>
      <c r="O90" s="496">
        <f t="shared" si="9"/>
        <v>72.413244358301824</v>
      </c>
      <c r="P90" s="496">
        <f t="shared" si="9"/>
        <v>72.413244358301839</v>
      </c>
      <c r="Q90" s="497">
        <f t="shared" si="9"/>
        <v>72.413244358301824</v>
      </c>
      <c r="R90" s="43"/>
      <c r="S90" s="122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109"/>
      <c r="AG90" s="109"/>
      <c r="AH90" s="109"/>
      <c r="AI90" s="109"/>
      <c r="AJ90" s="109"/>
      <c r="AK90" s="109"/>
      <c r="AL90" s="109"/>
      <c r="AM90" s="109"/>
      <c r="AN90" s="109"/>
      <c r="AO90" s="109"/>
      <c r="AP90" s="109"/>
      <c r="AQ90" s="109"/>
      <c r="AR90" s="109"/>
      <c r="AS90" s="109"/>
      <c r="AT90" s="109"/>
      <c r="AU90" s="109"/>
      <c r="AV90" s="109"/>
      <c r="AW90" s="109"/>
    </row>
    <row r="91" spans="1:49" ht="15.75" x14ac:dyDescent="0.25">
      <c r="A91" s="17"/>
      <c r="B91" s="17"/>
      <c r="C91" s="17"/>
      <c r="D91" s="17"/>
      <c r="E91" s="17"/>
      <c r="F91" s="122"/>
      <c r="G91" s="109"/>
      <c r="H91" s="44"/>
      <c r="I91" s="600" t="s">
        <v>461</v>
      </c>
      <c r="J91" s="613" t="s">
        <v>455</v>
      </c>
      <c r="K91" s="343" t="s">
        <v>455</v>
      </c>
      <c r="L91" s="531">
        <f t="shared" si="9"/>
        <v>0</v>
      </c>
      <c r="M91" s="508">
        <f t="shared" si="9"/>
        <v>0</v>
      </c>
      <c r="N91" s="508">
        <f t="shared" si="9"/>
        <v>0</v>
      </c>
      <c r="O91" s="508">
        <f t="shared" si="9"/>
        <v>0</v>
      </c>
      <c r="P91" s="508">
        <f t="shared" si="9"/>
        <v>0</v>
      </c>
      <c r="Q91" s="509">
        <f t="shared" si="9"/>
        <v>0</v>
      </c>
      <c r="R91" s="43"/>
      <c r="S91" s="122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109"/>
      <c r="AG91" s="109"/>
      <c r="AH91" s="109"/>
      <c r="AI91" s="109"/>
      <c r="AJ91" s="109"/>
      <c r="AK91" s="109"/>
      <c r="AL91" s="109"/>
      <c r="AM91" s="109"/>
      <c r="AN91" s="109"/>
      <c r="AO91" s="109"/>
      <c r="AP91" s="109"/>
      <c r="AQ91" s="109"/>
      <c r="AR91" s="109"/>
      <c r="AS91" s="109"/>
      <c r="AT91" s="109"/>
      <c r="AU91" s="109"/>
      <c r="AV91" s="109"/>
      <c r="AW91" s="109"/>
    </row>
    <row r="92" spans="1:49" ht="25.5" x14ac:dyDescent="0.25">
      <c r="A92" s="17"/>
      <c r="B92" s="17"/>
      <c r="C92" s="17"/>
      <c r="D92" s="17"/>
      <c r="E92" s="17"/>
      <c r="F92" s="122"/>
      <c r="G92" s="109"/>
      <c r="H92" s="44"/>
      <c r="I92" s="540" t="str">
        <f>I83</f>
        <v>U, B (при I = 5A / 0°)</v>
      </c>
      <c r="J92" s="627" t="s">
        <v>56</v>
      </c>
      <c r="K92" s="628" t="s">
        <v>56</v>
      </c>
      <c r="L92" s="535" t="str">
        <f>CONCATENATE(TEXT(ABS(IF(OR(P41="",P41=0),N41,P41)*IF(E49=1,2*E47,1)),"0,00")," / ",TEXT(L41,"0,0"),CHAR(176),CHAR(10),TEXT(ABS(K42*IF(E49=1,2*E47,1)),"0,00")," / ",TEXT(IF(OR(P42="",P42=0),N42,P42),"0,0"),CHAR(176))</f>
        <v>21,92 / 12,0°
39,00 / 46,4°</v>
      </c>
      <c r="M92" s="519" t="str">
        <f>CONCATENATE(TEXT(ABS(IF(OR(P49="",P49=0),N49,P49)*IF(E49=1,2*E47,1)),"0,00")," / ",TEXT(L49,"0,0"),CHAR(176),CHAR(10),TEXT(ABS(K50*IF(E49=1,2*E47,1)),"0,00")," / ",TEXT(IF(OR(P50="",P50=0),N50,P50),"0,0"),CHAR(176))</f>
        <v>13,20 / 0,0°
16,50 / 24,5°</v>
      </c>
      <c r="N92" s="519" t="str">
        <f>CONCATENATE(TEXT(ABS(IF(OR(Q41="",Q41=0),N41,Q41)*IF(E49=1,2*E47,1)),"0,00")," / ",TEXT(L41,"0,0"),CHAR(176),CHAR(10),TEXT(ABS(K42*IF(E49=1,2*E47,1)),"0,00")," / ",TEXT(IF(OR(Q42="",Q42=0),N42,Q42),"0,0"),CHAR(176))</f>
        <v>21,92 / 12,0°
39,00 / 46,4°</v>
      </c>
      <c r="O92" s="519" t="str">
        <f>CONCATENATE(TEXT(ABS(IF(OR(Q49="",Q49=0),N49,Q49)*IF(E49=1,2*E47,1)),"0,00")," / ",TEXT(L49,"0,0"),CHAR(176),CHAR(10),TEXT(ABS(K50*IF(E49=1,2*E47,1)),"0,00")," / ",TEXT(IF(OR(Q50="",Q50=0),N50,Q50),"0,0"),CHAR(176))</f>
        <v>13,20 / 0,0°
16,50 / 24,5°</v>
      </c>
      <c r="P92" s="519" t="str">
        <f>CONCATENATE(TEXT(ABS(IF(OR(R41="",R41=0),N41,R41)*IF(E49=1,2*E47,1)),"0,00")," / ",TEXT(L41,"0,0"),CHAR(176),CHAR(10),TEXT(ABS(K42*IF(E49=1,2*E47,1)),"0,00")," / ",TEXT(IF(OR(R42="",R42=0),N42,R42),"0,0"),CHAR(176))</f>
        <v>21,92 / 12,0°
39,00 / 46,4°</v>
      </c>
      <c r="Q92" s="521" t="str">
        <f>CONCATENATE(TEXT(ABS(IF(OR(R49="",R49=0),N49,R49)*IF(E49=1,2*E47,1)),"0,00")," / ",TEXT(L49,"0,0"),CHAR(176),CHAR(10),TEXT(ABS(K50*IF(E49=1,2*E47,1)),"0,00")," / ",TEXT(IF(OR(R50="",R50=0),N50,R50),"0,0"),CHAR(176))</f>
        <v>13,20 / 0,0°
16,50 / 24,5°</v>
      </c>
      <c r="R92" s="43"/>
      <c r="S92" s="122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109"/>
      <c r="AG92" s="109"/>
      <c r="AH92" s="109"/>
      <c r="AI92" s="109"/>
      <c r="AJ92" s="109"/>
      <c r="AK92" s="109"/>
      <c r="AL92" s="109"/>
      <c r="AM92" s="109"/>
      <c r="AN92" s="109"/>
      <c r="AO92" s="109"/>
      <c r="AP92" s="109"/>
      <c r="AQ92" s="109"/>
      <c r="AR92" s="109"/>
      <c r="AS92" s="109"/>
      <c r="AT92" s="109"/>
      <c r="AU92" s="109"/>
      <c r="AV92" s="109"/>
      <c r="AW92" s="109"/>
    </row>
    <row r="93" spans="1:49" x14ac:dyDescent="0.25">
      <c r="A93" s="17"/>
      <c r="B93" s="17"/>
      <c r="C93" s="17"/>
      <c r="D93" s="17"/>
      <c r="E93" s="17"/>
      <c r="F93" s="122"/>
      <c r="G93" s="109"/>
      <c r="H93" s="44"/>
      <c r="I93" s="541" t="s">
        <v>459</v>
      </c>
      <c r="J93" s="625">
        <f>E55</f>
        <v>115</v>
      </c>
      <c r="K93" s="626">
        <f>E56</f>
        <v>115</v>
      </c>
      <c r="L93" s="534">
        <f t="shared" ref="L93:Q94" si="10">K71</f>
        <v>114.99999999999999</v>
      </c>
      <c r="M93" s="496">
        <f t="shared" si="10"/>
        <v>115</v>
      </c>
      <c r="N93" s="496">
        <f t="shared" si="10"/>
        <v>114.99999999999999</v>
      </c>
      <c r="O93" s="496">
        <f t="shared" si="10"/>
        <v>115</v>
      </c>
      <c r="P93" s="496">
        <f t="shared" si="10"/>
        <v>114.99999999999999</v>
      </c>
      <c r="Q93" s="497">
        <f t="shared" si="10"/>
        <v>115</v>
      </c>
      <c r="R93" s="43"/>
      <c r="S93" s="122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109"/>
      <c r="AG93" s="109"/>
      <c r="AH93" s="109"/>
      <c r="AI93" s="109"/>
      <c r="AJ93" s="109"/>
      <c r="AK93" s="109"/>
      <c r="AL93" s="109"/>
      <c r="AM93" s="109"/>
      <c r="AN93" s="109"/>
      <c r="AO93" s="109"/>
      <c r="AP93" s="109"/>
      <c r="AQ93" s="109"/>
      <c r="AR93" s="109"/>
      <c r="AS93" s="109"/>
      <c r="AT93" s="109"/>
      <c r="AU93" s="109"/>
      <c r="AV93" s="109"/>
      <c r="AW93" s="109"/>
    </row>
    <row r="94" spans="1:49" ht="15.75" x14ac:dyDescent="0.25">
      <c r="A94" s="17"/>
      <c r="B94" s="17"/>
      <c r="C94" s="17"/>
      <c r="D94" s="17"/>
      <c r="E94" s="17"/>
      <c r="F94" s="122"/>
      <c r="G94" s="109"/>
      <c r="H94" s="44"/>
      <c r="I94" s="600" t="s">
        <v>462</v>
      </c>
      <c r="J94" s="613" t="s">
        <v>455</v>
      </c>
      <c r="K94" s="343" t="s">
        <v>455</v>
      </c>
      <c r="L94" s="531">
        <f t="shared" si="10"/>
        <v>0</v>
      </c>
      <c r="M94" s="508">
        <f t="shared" si="10"/>
        <v>0</v>
      </c>
      <c r="N94" s="508">
        <f t="shared" si="10"/>
        <v>0</v>
      </c>
      <c r="O94" s="508">
        <f t="shared" si="10"/>
        <v>0</v>
      </c>
      <c r="P94" s="508">
        <f t="shared" si="10"/>
        <v>0</v>
      </c>
      <c r="Q94" s="509">
        <f t="shared" si="10"/>
        <v>0</v>
      </c>
      <c r="R94" s="43"/>
      <c r="S94" s="122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09"/>
      <c r="AH94" s="109"/>
      <c r="AI94" s="109"/>
      <c r="AJ94" s="109"/>
      <c r="AK94" s="109"/>
      <c r="AL94" s="109"/>
      <c r="AM94" s="109"/>
      <c r="AN94" s="109"/>
      <c r="AO94" s="109"/>
      <c r="AP94" s="109"/>
      <c r="AQ94" s="109"/>
      <c r="AR94" s="109"/>
      <c r="AS94" s="109"/>
      <c r="AT94" s="109"/>
      <c r="AU94" s="109"/>
      <c r="AV94" s="109"/>
      <c r="AW94" s="109"/>
    </row>
    <row r="95" spans="1:49" ht="25.5" x14ac:dyDescent="0.25">
      <c r="A95" s="17"/>
      <c r="B95" s="17"/>
      <c r="C95" s="17"/>
      <c r="D95" s="17"/>
      <c r="E95" s="17"/>
      <c r="F95" s="122"/>
      <c r="G95" s="109"/>
      <c r="H95" s="44"/>
      <c r="I95" s="540" t="str">
        <f>I83</f>
        <v>U, B (при I = 5A / 0°)</v>
      </c>
      <c r="J95" s="627" t="s">
        <v>56</v>
      </c>
      <c r="K95" s="628" t="s">
        <v>56</v>
      </c>
      <c r="L95" s="535" t="str">
        <f>CONCATENATE(TEXT(ABS(K44*IF(E49=1,E47,1)),"0,00")," / ",TEXT(IF(OR(P44="",P44=0),N44,P44),"0,0"),CHAR(176))</f>
        <v>28,00 / 108,8°</v>
      </c>
      <c r="M95" s="519" t="str">
        <f>CONCATENATE(TEXT(ABS(IF(OR(P47="",P47=0),N47,P47)*IF(E49=1,E47,1)),"0,00")," / ",TEXT(L47,"0,0"),CHAR(176),CHAR(10),TEXT(ABS(K51*IF(E49=1,E47,1)),"0,00")," / ",TEXT(IF(OR(P51="",P51=0),N51,P51),"0,0"),CHAR(176))</f>
        <v>1,09 / 270,0°
7,50 / 114,3°</v>
      </c>
      <c r="N95" s="519" t="str">
        <f>CONCATENATE(TEXT(ABS(K44*IF(E49=1,E47,1)),"0,00")," / ",TEXT(IF(OR(Q44="",Q44=0),N44,Q44),"0,0"),CHAR(176))</f>
        <v>28,00 / 108,8°</v>
      </c>
      <c r="O95" s="519" t="str">
        <f>CONCATENATE(TEXT(ABS(IF(OR(Q47="",Q47=0),N47,Q47)*IF(E49=1,E47,1)),"0,00")," / ",TEXT(L47,"0,0"),CHAR(176),CHAR(10),TEXT(ABS(K51*IF(E49=1,E47,1)),"0,00")," / ",TEXT(IF(OR(Q51="",Q51=0),N51,Q51),"0,0"),CHAR(176))</f>
        <v>1,09 / 270,0°
7,50 / 114,3°</v>
      </c>
      <c r="P95" s="519" t="str">
        <f>CONCATENATE(TEXT(ABS(K44*IF(E49=1,E47,1)),"0,00")," / ",TEXT(IF(OR(R44="",R44=0),N44,R44),"0,0"),CHAR(176))</f>
        <v>28,00 / 108,8°</v>
      </c>
      <c r="Q95" s="521" t="str">
        <f>CONCATENATE(TEXT(ABS(IF(OR(R47="",R47=0),N47,R47)*IF(E49=1,E47,1)),"0,00")," / ",TEXT(L47,"0,0"),CHAR(176),CHAR(10),TEXT(ABS(K51*IF(E49=1,E47,1)),"0,00")," / ",TEXT(IF(OR(R51="",R51=0),N51,R51),"0,0"),CHAR(176))</f>
        <v>1,09 / 270,0°
7,50 / 114,3°</v>
      </c>
      <c r="R95" s="43"/>
      <c r="S95" s="122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  <c r="AD95" s="109"/>
      <c r="AE95" s="109"/>
      <c r="AF95" s="109"/>
      <c r="AG95" s="109"/>
      <c r="AH95" s="109"/>
      <c r="AI95" s="109"/>
      <c r="AJ95" s="109"/>
      <c r="AK95" s="109"/>
      <c r="AL95" s="109"/>
      <c r="AM95" s="109"/>
      <c r="AN95" s="109"/>
      <c r="AO95" s="109"/>
      <c r="AP95" s="109"/>
      <c r="AQ95" s="109"/>
      <c r="AR95" s="109"/>
      <c r="AS95" s="109"/>
      <c r="AT95" s="109"/>
      <c r="AU95" s="109"/>
      <c r="AV95" s="109"/>
      <c r="AW95" s="109"/>
    </row>
    <row r="96" spans="1:49" x14ac:dyDescent="0.25">
      <c r="A96" s="17"/>
      <c r="B96" s="17"/>
      <c r="C96" s="17"/>
      <c r="D96" s="17"/>
      <c r="E96" s="17"/>
      <c r="F96" s="122"/>
      <c r="G96" s="109"/>
      <c r="H96" s="44"/>
      <c r="I96" s="541" t="s">
        <v>460</v>
      </c>
      <c r="J96" s="629" t="s">
        <v>56</v>
      </c>
      <c r="K96" s="626">
        <f>E57</f>
        <v>-15</v>
      </c>
      <c r="L96" s="534" t="s">
        <v>56</v>
      </c>
      <c r="M96" s="496">
        <f>L73</f>
        <v>-15.000000000000021</v>
      </c>
      <c r="N96" s="496" t="s">
        <v>56</v>
      </c>
      <c r="O96" s="496">
        <f>N73</f>
        <v>-15.000000000000021</v>
      </c>
      <c r="P96" s="496" t="s">
        <v>56</v>
      </c>
      <c r="Q96" s="497">
        <f>P73</f>
        <v>-15.000000000000021</v>
      </c>
      <c r="R96" s="43"/>
      <c r="S96" s="122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  <c r="AD96" s="109"/>
      <c r="AE96" s="109"/>
      <c r="AF96" s="109"/>
      <c r="AG96" s="109"/>
      <c r="AH96" s="109"/>
      <c r="AI96" s="109"/>
      <c r="AJ96" s="109"/>
      <c r="AK96" s="109"/>
      <c r="AL96" s="109"/>
      <c r="AM96" s="109"/>
      <c r="AN96" s="109"/>
      <c r="AO96" s="109"/>
      <c r="AP96" s="109"/>
      <c r="AQ96" s="109"/>
      <c r="AR96" s="109"/>
      <c r="AS96" s="109"/>
      <c r="AT96" s="109"/>
      <c r="AU96" s="109"/>
      <c r="AV96" s="109"/>
      <c r="AW96" s="109"/>
    </row>
    <row r="97" spans="1:49" ht="15.75" x14ac:dyDescent="0.25">
      <c r="A97" s="17"/>
      <c r="B97" s="17"/>
      <c r="C97" s="17"/>
      <c r="D97" s="17"/>
      <c r="E97" s="17"/>
      <c r="F97" s="122"/>
      <c r="G97" s="109"/>
      <c r="H97" s="44"/>
      <c r="I97" s="600" t="s">
        <v>463</v>
      </c>
      <c r="J97" s="613" t="s">
        <v>456</v>
      </c>
      <c r="K97" s="343" t="s">
        <v>456</v>
      </c>
      <c r="L97" s="531" t="s">
        <v>56</v>
      </c>
      <c r="M97" s="508">
        <f>L74</f>
        <v>2.1316282072803006E-14</v>
      </c>
      <c r="N97" s="508" t="s">
        <v>56</v>
      </c>
      <c r="O97" s="508">
        <f>N74</f>
        <v>2.1316282072803006E-14</v>
      </c>
      <c r="P97" s="508" t="s">
        <v>56</v>
      </c>
      <c r="Q97" s="509">
        <f>P74</f>
        <v>2.1316282072803006E-14</v>
      </c>
      <c r="R97" s="43"/>
      <c r="S97" s="122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  <c r="AD97" s="109"/>
      <c r="AE97" s="109"/>
      <c r="AF97" s="109"/>
      <c r="AG97" s="109"/>
      <c r="AH97" s="109"/>
      <c r="AI97" s="109"/>
      <c r="AJ97" s="109"/>
      <c r="AK97" s="109"/>
      <c r="AL97" s="109"/>
      <c r="AM97" s="109"/>
      <c r="AN97" s="109"/>
      <c r="AO97" s="109"/>
      <c r="AP97" s="109"/>
      <c r="AQ97" s="109"/>
      <c r="AR97" s="109"/>
      <c r="AS97" s="109"/>
      <c r="AT97" s="109"/>
      <c r="AU97" s="109"/>
      <c r="AV97" s="109"/>
      <c r="AW97" s="109"/>
    </row>
    <row r="98" spans="1:49" ht="26.25" thickBot="1" x14ac:dyDescent="0.3">
      <c r="A98" s="17"/>
      <c r="B98" s="17"/>
      <c r="C98" s="17"/>
      <c r="D98" s="17"/>
      <c r="E98" s="17"/>
      <c r="F98" s="122"/>
      <c r="G98" s="109"/>
      <c r="H98" s="17"/>
      <c r="I98" s="599" t="str">
        <f>I83</f>
        <v>U, B (при I = 5A / 0°)</v>
      </c>
      <c r="J98" s="614" t="s">
        <v>56</v>
      </c>
      <c r="K98" s="523" t="s">
        <v>56</v>
      </c>
      <c r="L98" s="539" t="s">
        <v>56</v>
      </c>
      <c r="M98" s="514" t="str">
        <f>CONCATENATE(TEXT(ABS(IF(OR(P47="",P47=0),N47,P47)*IF(E49=1,E47,1)),"0,00")," / ",TEXT(L47,"0,0"),CHAR(176),CHAR(10),TEXT(ABS(K52*IF(E49=1,E47,1)),"0,00")," / ",TEXT(IF(OR(P52="",P52=0),N52,P52),"0,0"),CHAR(176))</f>
        <v>1,09 / 270,0°
11,00 / 336,8°</v>
      </c>
      <c r="N98" s="514" t="s">
        <v>56</v>
      </c>
      <c r="O98" s="514" t="str">
        <f>CONCATENATE(TEXT(ABS(IF(OR(Q47="",Q47=0),N47,Q47)*IF(E49=1,E47,1)),"0,00")," / ",TEXT(L47,"0,0"),CHAR(176),CHAR(10),TEXT(ABS(K52*IF(E49=1,E47,1)),"0,00")," / ",TEXT(IF(OR(Q52="",Q52=0),N52,Q52),"0,0"),CHAR(176))</f>
        <v>1,09 / 270,0°
11,00 / 336,8°</v>
      </c>
      <c r="P98" s="514" t="s">
        <v>56</v>
      </c>
      <c r="Q98" s="515" t="str">
        <f>CONCATENATE(TEXT(ABS(IF(OR(R47="",R47=0),N47,R47)*IF(E49=1,E47,1)),"0,00")," / ",TEXT(L47,"0,0"),CHAR(176),CHAR(10),TEXT(ABS(K52*IF(E49=1,E47,1)),"0,00")," / ",TEXT(IF(OR(R52="",R52=0),N52,R52),"0,0"),CHAR(176))</f>
        <v>1,09 / 270,0°
11,00 / 336,8°</v>
      </c>
      <c r="R98" s="17"/>
      <c r="S98" s="122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  <c r="AD98" s="109"/>
      <c r="AE98" s="109"/>
      <c r="AF98" s="109"/>
      <c r="AG98" s="109"/>
      <c r="AH98" s="109"/>
      <c r="AI98" s="109"/>
      <c r="AJ98" s="109"/>
      <c r="AK98" s="109"/>
      <c r="AL98" s="109"/>
      <c r="AM98" s="109"/>
      <c r="AN98" s="109"/>
      <c r="AO98" s="109"/>
      <c r="AP98" s="109"/>
      <c r="AQ98" s="109"/>
      <c r="AR98" s="109"/>
      <c r="AS98" s="109"/>
      <c r="AT98" s="109"/>
      <c r="AU98" s="109"/>
      <c r="AV98" s="109"/>
      <c r="AW98" s="109"/>
    </row>
    <row r="99" spans="1:49" x14ac:dyDescent="0.25">
      <c r="A99" s="17"/>
      <c r="B99" s="17"/>
      <c r="C99" s="17"/>
      <c r="D99" s="17"/>
      <c r="E99" s="17"/>
      <c r="F99" s="122"/>
      <c r="G99" s="109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22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  <c r="AD99" s="109"/>
      <c r="AE99" s="109"/>
      <c r="AF99" s="109"/>
      <c r="AG99" s="109"/>
      <c r="AH99" s="109"/>
      <c r="AI99" s="109"/>
      <c r="AJ99" s="109"/>
      <c r="AK99" s="109"/>
      <c r="AL99" s="109"/>
      <c r="AM99" s="109"/>
      <c r="AN99" s="109"/>
      <c r="AO99" s="109"/>
      <c r="AP99" s="109"/>
      <c r="AQ99" s="109"/>
      <c r="AR99" s="109"/>
      <c r="AS99" s="109"/>
      <c r="AT99" s="109"/>
      <c r="AU99" s="109"/>
      <c r="AV99" s="109"/>
      <c r="AW99" s="109"/>
    </row>
    <row r="100" spans="1:49" x14ac:dyDescent="0.25">
      <c r="A100" s="17"/>
      <c r="B100" s="17"/>
      <c r="C100" s="17"/>
      <c r="D100" s="17"/>
      <c r="E100" s="17"/>
      <c r="F100" s="122"/>
      <c r="G100" s="109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22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  <c r="AD100" s="109"/>
      <c r="AE100" s="109"/>
      <c r="AF100" s="109"/>
      <c r="AG100" s="109"/>
      <c r="AH100" s="109"/>
      <c r="AI100" s="109"/>
      <c r="AJ100" s="109"/>
      <c r="AK100" s="109"/>
      <c r="AL100" s="109"/>
      <c r="AM100" s="109"/>
      <c r="AN100" s="109"/>
      <c r="AO100" s="109"/>
      <c r="AP100" s="109"/>
      <c r="AQ100" s="109"/>
      <c r="AR100" s="109"/>
      <c r="AS100" s="109"/>
      <c r="AT100" s="109"/>
      <c r="AU100" s="109"/>
      <c r="AV100" s="109"/>
      <c r="AW100" s="109"/>
    </row>
    <row r="101" spans="1:49" x14ac:dyDescent="0.25">
      <c r="A101" s="17"/>
      <c r="B101" s="17"/>
      <c r="C101" s="17"/>
      <c r="D101" s="17"/>
      <c r="E101" s="17"/>
      <c r="F101" s="122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109"/>
      <c r="AG101" s="109"/>
      <c r="AH101" s="109"/>
      <c r="AI101" s="109"/>
      <c r="AJ101" s="109"/>
      <c r="AK101" s="109"/>
      <c r="AL101" s="109"/>
      <c r="AM101" s="109"/>
      <c r="AN101" s="109"/>
      <c r="AO101" s="109"/>
      <c r="AP101" s="109"/>
      <c r="AQ101" s="109"/>
      <c r="AR101" s="109"/>
      <c r="AS101" s="109"/>
      <c r="AT101" s="109"/>
      <c r="AU101" s="109"/>
      <c r="AV101" s="109"/>
      <c r="AW101" s="109"/>
    </row>
    <row r="102" spans="1:49" x14ac:dyDescent="0.25">
      <c r="A102" s="17"/>
      <c r="B102" s="17"/>
      <c r="C102" s="17"/>
      <c r="D102" s="17"/>
      <c r="E102" s="17"/>
      <c r="F102" s="122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  <c r="AD102" s="109"/>
      <c r="AE102" s="109"/>
      <c r="AF102" s="109"/>
      <c r="AG102" s="109"/>
      <c r="AH102" s="109"/>
      <c r="AI102" s="109"/>
      <c r="AJ102" s="109"/>
      <c r="AK102" s="109"/>
      <c r="AL102" s="109"/>
      <c r="AM102" s="109"/>
      <c r="AN102" s="109"/>
      <c r="AO102" s="109"/>
      <c r="AP102" s="109"/>
      <c r="AQ102" s="109"/>
      <c r="AR102" s="109"/>
      <c r="AS102" s="109"/>
      <c r="AT102" s="109"/>
      <c r="AU102" s="109"/>
      <c r="AV102" s="109"/>
      <c r="AW102" s="109"/>
    </row>
    <row r="103" spans="1:49" x14ac:dyDescent="0.25">
      <c r="A103" s="17"/>
      <c r="B103" s="17"/>
      <c r="C103" s="17"/>
      <c r="D103" s="17"/>
      <c r="E103" s="17"/>
      <c r="F103" s="122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  <c r="AD103" s="109"/>
      <c r="AE103" s="109"/>
      <c r="AF103" s="109"/>
      <c r="AG103" s="109"/>
      <c r="AH103" s="109"/>
      <c r="AI103" s="109"/>
      <c r="AJ103" s="109"/>
      <c r="AK103" s="109"/>
      <c r="AL103" s="109"/>
      <c r="AM103" s="109"/>
      <c r="AN103" s="109"/>
      <c r="AO103" s="109"/>
      <c r="AP103" s="109"/>
      <c r="AQ103" s="109"/>
      <c r="AR103" s="109"/>
      <c r="AS103" s="109"/>
      <c r="AT103" s="109"/>
      <c r="AU103" s="109"/>
      <c r="AV103" s="109"/>
      <c r="AW103" s="109"/>
    </row>
    <row r="104" spans="1:49" x14ac:dyDescent="0.25">
      <c r="A104" s="17"/>
      <c r="B104" s="17"/>
      <c r="C104" s="17"/>
      <c r="D104" s="17"/>
      <c r="E104" s="17"/>
      <c r="F104" s="122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  <c r="AD104" s="109"/>
      <c r="AE104" s="109"/>
      <c r="AF104" s="109"/>
      <c r="AG104" s="109"/>
      <c r="AH104" s="109"/>
      <c r="AI104" s="109"/>
      <c r="AJ104" s="109"/>
      <c r="AK104" s="109"/>
      <c r="AL104" s="109"/>
      <c r="AM104" s="109"/>
      <c r="AN104" s="109"/>
      <c r="AO104" s="109"/>
      <c r="AP104" s="109"/>
      <c r="AQ104" s="109"/>
      <c r="AR104" s="109"/>
      <c r="AS104" s="109"/>
      <c r="AT104" s="109"/>
      <c r="AU104" s="109"/>
      <c r="AV104" s="109"/>
      <c r="AW104" s="109"/>
    </row>
    <row r="105" spans="1:49" x14ac:dyDescent="0.25">
      <c r="A105" s="17"/>
      <c r="B105" s="17"/>
      <c r="C105" s="17"/>
      <c r="D105" s="17"/>
      <c r="E105" s="17"/>
      <c r="F105" s="122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  <c r="AD105" s="109"/>
      <c r="AE105" s="109"/>
      <c r="AF105" s="109"/>
      <c r="AG105" s="109"/>
      <c r="AH105" s="109"/>
      <c r="AI105" s="109"/>
      <c r="AJ105" s="109"/>
      <c r="AK105" s="109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  <c r="AW105" s="109"/>
    </row>
    <row r="106" spans="1:49" x14ac:dyDescent="0.25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  <c r="AD106" s="109"/>
      <c r="AE106" s="109"/>
      <c r="AF106" s="109"/>
      <c r="AG106" s="109"/>
      <c r="AH106" s="109"/>
      <c r="AI106" s="109"/>
      <c r="AJ106" s="109"/>
      <c r="AK106" s="109"/>
      <c r="AL106" s="109"/>
      <c r="AM106" s="109"/>
      <c r="AN106" s="109"/>
      <c r="AO106" s="109"/>
      <c r="AP106" s="109"/>
      <c r="AQ106" s="109"/>
      <c r="AR106" s="109"/>
      <c r="AS106" s="109"/>
      <c r="AT106" s="109"/>
      <c r="AU106" s="109"/>
      <c r="AV106" s="109"/>
      <c r="AW106" s="109"/>
    </row>
    <row r="107" spans="1:49" x14ac:dyDescent="0.25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  <c r="AD107" s="109"/>
      <c r="AE107" s="109"/>
      <c r="AF107" s="109"/>
      <c r="AG107" s="109"/>
      <c r="AH107" s="109"/>
      <c r="AI107" s="109"/>
      <c r="AJ107" s="109"/>
      <c r="AK107" s="109"/>
      <c r="AL107" s="109"/>
      <c r="AM107" s="109"/>
      <c r="AN107" s="109"/>
      <c r="AO107" s="109"/>
      <c r="AP107" s="109"/>
      <c r="AQ107" s="109"/>
      <c r="AR107" s="109"/>
      <c r="AS107" s="109"/>
      <c r="AT107" s="109"/>
      <c r="AU107" s="109"/>
      <c r="AV107" s="109"/>
      <c r="AW107" s="109"/>
    </row>
    <row r="108" spans="1:49" x14ac:dyDescent="0.25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  <c r="AD108" s="109"/>
      <c r="AE108" s="109"/>
      <c r="AF108" s="109"/>
      <c r="AG108" s="109"/>
      <c r="AH108" s="109"/>
      <c r="AI108" s="109"/>
      <c r="AJ108" s="109"/>
      <c r="AK108" s="109"/>
      <c r="AL108" s="109"/>
      <c r="AM108" s="109"/>
      <c r="AN108" s="109"/>
      <c r="AO108" s="109"/>
      <c r="AP108" s="109"/>
      <c r="AQ108" s="109"/>
      <c r="AR108" s="109"/>
      <c r="AS108" s="109"/>
      <c r="AT108" s="109"/>
      <c r="AU108" s="109"/>
      <c r="AV108" s="109"/>
      <c r="AW108" s="109"/>
    </row>
  </sheetData>
  <sheetProtection sheet="1" objects="1" scenarios="1" selectLockedCells="1"/>
  <mergeCells count="21">
    <mergeCell ref="L79:Q79"/>
    <mergeCell ref="I79:I80"/>
    <mergeCell ref="J79:K79"/>
    <mergeCell ref="I66:J66"/>
    <mergeCell ref="I67:J67"/>
    <mergeCell ref="I74:J74"/>
    <mergeCell ref="I73:J73"/>
    <mergeCell ref="I69:J69"/>
    <mergeCell ref="I70:J70"/>
    <mergeCell ref="I71:J71"/>
    <mergeCell ref="I72:J72"/>
    <mergeCell ref="I63:J63"/>
    <mergeCell ref="I64:J64"/>
    <mergeCell ref="I65:J65"/>
    <mergeCell ref="I68:J68"/>
    <mergeCell ref="I61:J62"/>
    <mergeCell ref="V30:W31"/>
    <mergeCell ref="AJ30:AK31"/>
    <mergeCell ref="A1:B3"/>
    <mergeCell ref="C1:K3"/>
    <mergeCell ref="I58:I59"/>
  </mergeCells>
  <hyperlinks>
    <hyperlink ref="A1:B3" location="Содержание!D32" display=")"/>
  </hyperlinks>
  <pageMargins left="0.7" right="0.7" top="0.75" bottom="0.75" header="0.3" footer="0.3"/>
  <pageSetup paperSize="9" orientation="portrait" horizontalDpi="300" r:id="rId1"/>
  <drawing r:id="rId2"/>
  <legacyDrawing r:id="rId3"/>
  <oleObjects>
    <mc:AlternateContent xmlns:mc="http://schemas.openxmlformats.org/markup-compatibility/2006">
      <mc:Choice Requires="x14">
        <oleObject progId="Visio.Drawing.15" shapeId="7526191" r:id="rId4">
          <objectPr defaultSize="0" r:id="rId5">
            <anchor moveWithCells="1">
              <from>
                <xdr:col>1</xdr:col>
                <xdr:colOff>0</xdr:colOff>
                <xdr:row>59</xdr:row>
                <xdr:rowOff>0</xdr:rowOff>
              </from>
              <to>
                <xdr:col>4</xdr:col>
                <xdr:colOff>647700</xdr:colOff>
                <xdr:row>81</xdr:row>
                <xdr:rowOff>104775</xdr:rowOff>
              </to>
            </anchor>
          </objectPr>
        </oleObject>
      </mc:Choice>
      <mc:Fallback>
        <oleObject progId="Visio.Drawing.15" shapeId="7526191" r:id="rId4"/>
      </mc:Fallback>
    </mc:AlternateContent>
    <mc:AlternateContent xmlns:mc="http://schemas.openxmlformats.org/markup-compatibility/2006">
      <mc:Choice Requires="x14">
        <oleObject progId="Visio.Drawing.15" shapeId="7526193" r:id="rId6">
          <objectPr defaultSize="0" r:id="rId7">
            <anchor moveWithCells="1">
              <from>
                <xdr:col>1</xdr:col>
                <xdr:colOff>0</xdr:colOff>
                <xdr:row>83</xdr:row>
                <xdr:rowOff>0</xdr:rowOff>
              </from>
              <to>
                <xdr:col>4</xdr:col>
                <xdr:colOff>647700</xdr:colOff>
                <xdr:row>103</xdr:row>
                <xdr:rowOff>161925</xdr:rowOff>
              </to>
            </anchor>
          </objectPr>
        </oleObject>
      </mc:Choice>
      <mc:Fallback>
        <oleObject progId="Visio.Drawing.15" shapeId="7526193" r:id="rId6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6"/>
  <dimension ref="A1:BE91"/>
  <sheetViews>
    <sheetView zoomScale="80" zoomScaleNormal="80" workbookViewId="0">
      <pane ySplit="3" topLeftCell="A4" activePane="bottomLeft" state="frozen"/>
      <selection pane="bottomLeft" activeCell="E18" sqref="E18"/>
    </sheetView>
  </sheetViews>
  <sheetFormatPr defaultColWidth="9.140625" defaultRowHeight="12.75" x14ac:dyDescent="0.2"/>
  <cols>
    <col min="1" max="1" width="4.85546875" style="21" customWidth="1"/>
    <col min="2" max="2" width="5.140625" style="21" customWidth="1"/>
    <col min="3" max="3" width="42.42578125" style="21" bestFit="1" customWidth="1"/>
    <col min="4" max="4" width="14.85546875" style="21" customWidth="1"/>
    <col min="5" max="5" width="14.28515625" style="21" customWidth="1"/>
    <col min="6" max="8" width="4.5703125" style="21" customWidth="1"/>
    <col min="9" max="9" width="28.42578125" style="21" customWidth="1"/>
    <col min="10" max="10" width="8.85546875" style="21" bestFit="1" customWidth="1"/>
    <col min="11" max="11" width="9.140625" style="21" customWidth="1"/>
    <col min="12" max="12" width="15" style="21" bestFit="1" customWidth="1"/>
    <col min="13" max="14" width="12.85546875" style="21" customWidth="1"/>
    <col min="15" max="15" width="10.5703125" style="21" bestFit="1" customWidth="1"/>
    <col min="16" max="16" width="9.5703125" style="21" customWidth="1"/>
    <col min="17" max="19" width="8.28515625" style="21" customWidth="1"/>
    <col min="20" max="22" width="4.5703125" style="21" customWidth="1"/>
    <col min="23" max="23" width="17.7109375" style="21" customWidth="1"/>
    <col min="24" max="24" width="10.7109375" style="21" bestFit="1" customWidth="1"/>
    <col min="25" max="30" width="9.140625" style="21"/>
    <col min="31" max="31" width="4.5703125" style="21" customWidth="1"/>
    <col min="32" max="32" width="4.28515625" style="21" customWidth="1"/>
    <col min="33" max="33" width="4.5703125" style="21" customWidth="1"/>
    <col min="34" max="34" width="9.140625" style="21" hidden="1" customWidth="1"/>
    <col min="35" max="35" width="14.140625" style="21" hidden="1" customWidth="1"/>
    <col min="36" max="36" width="12" style="21" hidden="1" customWidth="1"/>
    <col min="37" max="37" width="9.85546875" style="21" hidden="1" customWidth="1"/>
    <col min="38" max="38" width="11.42578125" style="21" hidden="1" customWidth="1"/>
    <col min="39" max="39" width="9.7109375" style="21" hidden="1" customWidth="1"/>
    <col min="40" max="40" width="9.140625" style="21" hidden="1" customWidth="1"/>
    <col min="41" max="41" width="6.28515625" style="21" customWidth="1"/>
    <col min="42" max="42" width="17.7109375" style="21" bestFit="1" customWidth="1"/>
    <col min="43" max="43" width="4.5703125" style="21" customWidth="1"/>
    <col min="44" max="45" width="9.140625" style="21"/>
    <col min="46" max="46" width="9" style="21" customWidth="1"/>
    <col min="47" max="48" width="10.28515625" style="21" customWidth="1"/>
    <col min="49" max="51" width="9" style="21" customWidth="1"/>
    <col min="52" max="52" width="9.42578125" style="21" customWidth="1"/>
    <col min="53" max="53" width="9.28515625" style="21" customWidth="1"/>
    <col min="54" max="55" width="10" style="21" customWidth="1"/>
    <col min="56" max="56" width="4.42578125" style="21" customWidth="1"/>
    <col min="57" max="16384" width="9.140625" style="21"/>
  </cols>
  <sheetData>
    <row r="1" spans="1:57" ht="17.25" customHeight="1" x14ac:dyDescent="0.2">
      <c r="A1" s="727" t="s">
        <v>427</v>
      </c>
      <c r="B1" s="727"/>
      <c r="C1" s="777" t="s">
        <v>348</v>
      </c>
      <c r="D1" s="777"/>
      <c r="E1" s="777"/>
      <c r="F1" s="777"/>
      <c r="G1" s="777"/>
      <c r="H1" s="777"/>
      <c r="I1" s="777"/>
      <c r="J1" s="777"/>
      <c r="K1" s="777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</row>
    <row r="2" spans="1:57" ht="17.25" customHeight="1" x14ac:dyDescent="0.2">
      <c r="A2" s="727"/>
      <c r="B2" s="727"/>
      <c r="C2" s="777"/>
      <c r="D2" s="777"/>
      <c r="E2" s="777"/>
      <c r="F2" s="777"/>
      <c r="G2" s="777"/>
      <c r="H2" s="777"/>
      <c r="I2" s="777"/>
      <c r="J2" s="777"/>
      <c r="K2" s="777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</row>
    <row r="3" spans="1:57" ht="17.25" customHeight="1" x14ac:dyDescent="0.2">
      <c r="A3" s="727"/>
      <c r="B3" s="727"/>
      <c r="C3" s="777"/>
      <c r="D3" s="777"/>
      <c r="E3" s="777"/>
      <c r="F3" s="777"/>
      <c r="G3" s="777"/>
      <c r="H3" s="777"/>
      <c r="I3" s="777"/>
      <c r="J3" s="777"/>
      <c r="K3" s="777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</row>
    <row r="4" spans="1:57" customFormat="1" ht="15" x14ac:dyDescent="0.25">
      <c r="A4" s="633"/>
      <c r="B4" s="633"/>
      <c r="C4" s="633"/>
      <c r="D4" s="633"/>
      <c r="E4" s="633"/>
      <c r="F4" s="634"/>
      <c r="G4" s="634"/>
      <c r="H4" s="634"/>
      <c r="I4" s="634"/>
      <c r="J4" s="633"/>
      <c r="K4" s="635"/>
      <c r="L4" s="633"/>
      <c r="M4" s="633"/>
      <c r="N4" s="633"/>
      <c r="O4" s="633"/>
      <c r="P4" s="633"/>
      <c r="Q4" s="633"/>
      <c r="R4" s="633"/>
      <c r="S4" s="633"/>
      <c r="T4" s="633"/>
      <c r="U4" s="633"/>
      <c r="V4" s="633"/>
      <c r="W4" s="633"/>
      <c r="X4" s="633"/>
      <c r="Y4" s="634"/>
      <c r="Z4" s="635"/>
      <c r="AA4" s="635"/>
      <c r="AB4" s="633"/>
      <c r="AC4" s="633"/>
      <c r="AD4" s="633"/>
      <c r="AE4" s="633"/>
      <c r="AF4" s="633"/>
      <c r="AG4" s="633"/>
      <c r="AH4" s="633"/>
      <c r="AI4" s="633"/>
      <c r="AJ4" s="633"/>
      <c r="AK4" s="633"/>
      <c r="AL4" s="633"/>
      <c r="AM4" s="633"/>
      <c r="AN4" s="633"/>
      <c r="AO4" s="633"/>
      <c r="AP4" s="633"/>
      <c r="AQ4" s="633"/>
      <c r="AR4" s="633"/>
      <c r="AS4" s="633"/>
      <c r="AT4" s="633"/>
      <c r="AU4" s="633"/>
      <c r="AV4" s="633"/>
      <c r="AW4" s="633"/>
      <c r="AX4" s="633"/>
      <c r="AY4" s="633"/>
      <c r="AZ4" s="633"/>
      <c r="BA4" s="633"/>
      <c r="BB4" s="633"/>
      <c r="BC4" s="633"/>
      <c r="BD4" s="633"/>
      <c r="BE4" s="633"/>
    </row>
    <row r="5" spans="1:57" customFormat="1" ht="15" x14ac:dyDescent="0.25">
      <c r="A5" s="633"/>
      <c r="B5" s="636" t="s">
        <v>518</v>
      </c>
      <c r="C5" s="636"/>
      <c r="D5" s="633"/>
      <c r="E5" s="633"/>
      <c r="F5" s="634"/>
      <c r="G5" s="634"/>
      <c r="H5" s="634"/>
      <c r="I5" s="634"/>
      <c r="J5" s="633"/>
      <c r="K5" s="635"/>
      <c r="L5" s="633"/>
      <c r="M5" s="633"/>
      <c r="N5" s="633"/>
      <c r="O5" s="633"/>
      <c r="P5" s="633"/>
      <c r="Q5" s="633"/>
      <c r="R5" s="633"/>
      <c r="S5" s="633"/>
      <c r="T5" s="633"/>
      <c r="U5" s="633"/>
      <c r="V5" s="633"/>
      <c r="W5" s="633"/>
      <c r="X5" s="633"/>
      <c r="Y5" s="634"/>
      <c r="Z5" s="635"/>
      <c r="AA5" s="635"/>
      <c r="AB5" s="633"/>
      <c r="AC5" s="633"/>
      <c r="AD5" s="633"/>
      <c r="AE5" s="633"/>
      <c r="AF5" s="633"/>
      <c r="AG5" s="633"/>
      <c r="AH5" s="633"/>
      <c r="AI5" s="633"/>
      <c r="AJ5" s="633"/>
      <c r="AK5" s="633"/>
      <c r="AL5" s="633"/>
      <c r="AM5" s="633"/>
      <c r="AN5" s="633"/>
      <c r="AO5" s="633"/>
      <c r="AP5" s="633"/>
      <c r="AQ5" s="633"/>
      <c r="AR5" s="633"/>
      <c r="AS5" s="633"/>
      <c r="AT5" s="633"/>
      <c r="AU5" s="633"/>
      <c r="AV5" s="633"/>
      <c r="AW5" s="633"/>
      <c r="AX5" s="633"/>
      <c r="AY5" s="633"/>
      <c r="AZ5" s="633"/>
      <c r="BA5" s="633"/>
      <c r="BB5" s="633"/>
      <c r="BC5" s="633"/>
      <c r="BD5" s="633"/>
      <c r="BE5" s="633"/>
    </row>
    <row r="6" spans="1:57" customFormat="1" ht="15" x14ac:dyDescent="0.25">
      <c r="A6" s="633"/>
      <c r="B6" s="636" t="s">
        <v>481</v>
      </c>
      <c r="C6" s="636"/>
      <c r="D6" s="633"/>
      <c r="E6" s="633"/>
      <c r="F6" s="634"/>
      <c r="G6" s="634"/>
      <c r="H6" s="634"/>
      <c r="I6" s="634"/>
      <c r="J6" s="633"/>
      <c r="K6" s="635"/>
      <c r="L6" s="633"/>
      <c r="M6" s="633"/>
      <c r="N6" s="633"/>
      <c r="O6" s="633"/>
      <c r="P6" s="633"/>
      <c r="Q6" s="633"/>
      <c r="R6" s="633"/>
      <c r="S6" s="633"/>
      <c r="T6" s="633"/>
      <c r="U6" s="633"/>
      <c r="V6" s="633"/>
      <c r="W6" s="633"/>
      <c r="X6" s="633"/>
      <c r="Y6" s="634"/>
      <c r="Z6" s="635"/>
      <c r="AA6" s="635"/>
      <c r="AB6" s="633"/>
      <c r="AC6" s="633"/>
      <c r="AD6" s="633"/>
      <c r="AE6" s="633"/>
      <c r="AF6" s="633"/>
      <c r="AG6" s="633"/>
      <c r="AH6" s="633"/>
      <c r="AI6" s="633"/>
      <c r="AJ6" s="633"/>
      <c r="AK6" s="633"/>
      <c r="AL6" s="633"/>
      <c r="AM6" s="633"/>
      <c r="AN6" s="633"/>
      <c r="AO6" s="633"/>
      <c r="AP6" s="633"/>
      <c r="AQ6" s="633"/>
      <c r="AR6" s="633"/>
      <c r="AS6" s="633"/>
      <c r="AT6" s="633"/>
      <c r="AU6" s="633"/>
      <c r="AV6" s="633"/>
      <c r="AW6" s="633"/>
      <c r="AX6" s="633"/>
      <c r="AY6" s="633"/>
      <c r="AZ6" s="633"/>
      <c r="BA6" s="633"/>
      <c r="BB6" s="633"/>
      <c r="BC6" s="633"/>
      <c r="BD6" s="633"/>
      <c r="BE6" s="633"/>
    </row>
    <row r="7" spans="1:57" customFormat="1" ht="15" x14ac:dyDescent="0.25">
      <c r="A7" s="633"/>
      <c r="B7" s="636"/>
      <c r="C7" s="636" t="s">
        <v>485</v>
      </c>
      <c r="D7" s="633"/>
      <c r="E7" s="633"/>
      <c r="F7" s="634"/>
      <c r="G7" s="634"/>
      <c r="H7" s="634"/>
      <c r="I7" s="634"/>
      <c r="J7" s="633"/>
      <c r="K7" s="635"/>
      <c r="L7" s="633"/>
      <c r="M7" s="633"/>
      <c r="N7" s="633"/>
      <c r="O7" s="633"/>
      <c r="P7" s="633"/>
      <c r="Q7" s="633"/>
      <c r="R7" s="633"/>
      <c r="S7" s="633"/>
      <c r="T7" s="633"/>
      <c r="U7" s="633"/>
      <c r="V7" s="633"/>
      <c r="W7" s="633"/>
      <c r="X7" s="633"/>
      <c r="Y7" s="634"/>
      <c r="Z7" s="635"/>
      <c r="AA7" s="635"/>
      <c r="AB7" s="633"/>
      <c r="AC7" s="633"/>
      <c r="AD7" s="633"/>
      <c r="AE7" s="633"/>
      <c r="AF7" s="633"/>
      <c r="AG7" s="633"/>
      <c r="AH7" s="633"/>
      <c r="AI7" s="633"/>
      <c r="AJ7" s="633"/>
      <c r="AK7" s="633"/>
      <c r="AL7" s="633"/>
      <c r="AM7" s="633"/>
      <c r="AN7" s="633"/>
      <c r="AO7" s="633"/>
      <c r="AP7" s="633"/>
      <c r="AQ7" s="633"/>
      <c r="AR7" s="633"/>
      <c r="AS7" s="633"/>
      <c r="AT7" s="633"/>
      <c r="AU7" s="633"/>
      <c r="AV7" s="633"/>
      <c r="AW7" s="633"/>
      <c r="AX7" s="633"/>
      <c r="AY7" s="633"/>
      <c r="AZ7" s="633"/>
      <c r="BA7" s="633"/>
      <c r="BB7" s="633"/>
      <c r="BC7" s="633"/>
      <c r="BD7" s="633"/>
      <c r="BE7" s="633"/>
    </row>
    <row r="8" spans="1:57" customFormat="1" ht="15" x14ac:dyDescent="0.25">
      <c r="A8" s="633"/>
      <c r="B8" s="636"/>
      <c r="C8" s="636" t="s">
        <v>482</v>
      </c>
      <c r="D8" s="633"/>
      <c r="E8" s="633"/>
      <c r="F8" s="634"/>
      <c r="G8" s="634"/>
      <c r="H8" s="634"/>
      <c r="I8" s="634"/>
      <c r="J8" s="633"/>
      <c r="K8" s="635"/>
      <c r="L8" s="633"/>
      <c r="M8" s="633"/>
      <c r="N8" s="633"/>
      <c r="O8" s="633"/>
      <c r="P8" s="633"/>
      <c r="Q8" s="633"/>
      <c r="R8" s="633"/>
      <c r="S8" s="633"/>
      <c r="T8" s="633"/>
      <c r="U8" s="633"/>
      <c r="V8" s="633"/>
      <c r="W8" s="633"/>
      <c r="X8" s="633"/>
      <c r="Y8" s="634"/>
      <c r="Z8" s="635"/>
      <c r="AA8" s="635"/>
      <c r="AB8" s="633"/>
      <c r="AC8" s="633"/>
      <c r="AD8" s="633"/>
      <c r="AE8" s="633"/>
      <c r="AF8" s="633"/>
      <c r="AG8" s="633"/>
      <c r="AH8" s="633"/>
      <c r="AI8" s="633"/>
      <c r="AJ8" s="633"/>
      <c r="AK8" s="633"/>
      <c r="AL8" s="633"/>
      <c r="AM8" s="633"/>
      <c r="AN8" s="633"/>
      <c r="AO8" s="633"/>
      <c r="AP8" s="633"/>
      <c r="AQ8" s="633"/>
      <c r="AR8" s="633"/>
      <c r="AS8" s="633"/>
      <c r="AT8" s="633"/>
      <c r="AU8" s="633"/>
      <c r="AV8" s="633"/>
      <c r="AW8" s="633"/>
      <c r="AX8" s="633"/>
      <c r="AY8" s="633"/>
      <c r="AZ8" s="633"/>
      <c r="BA8" s="633"/>
      <c r="BB8" s="633"/>
      <c r="BC8" s="633"/>
      <c r="BD8" s="633"/>
      <c r="BE8" s="633"/>
    </row>
    <row r="9" spans="1:57" customFormat="1" ht="15" x14ac:dyDescent="0.25">
      <c r="A9" s="633"/>
      <c r="B9" s="636"/>
      <c r="C9" s="636" t="s">
        <v>483</v>
      </c>
      <c r="D9" s="633"/>
      <c r="E9" s="633"/>
      <c r="F9" s="634"/>
      <c r="G9" s="634"/>
      <c r="H9" s="634"/>
      <c r="I9" s="634"/>
      <c r="J9" s="633"/>
      <c r="K9" s="635"/>
      <c r="L9" s="633"/>
      <c r="M9" s="633"/>
      <c r="N9" s="633"/>
      <c r="O9" s="633"/>
      <c r="P9" s="633"/>
      <c r="Q9" s="633"/>
      <c r="R9" s="633"/>
      <c r="S9" s="633"/>
      <c r="T9" s="633"/>
      <c r="U9" s="633"/>
      <c r="V9" s="633"/>
      <c r="W9" s="633"/>
      <c r="X9" s="633"/>
      <c r="Y9" s="634"/>
      <c r="Z9" s="635"/>
      <c r="AA9" s="635"/>
      <c r="AB9" s="633"/>
      <c r="AC9" s="633"/>
      <c r="AD9" s="633"/>
      <c r="AE9" s="633"/>
      <c r="AF9" s="633"/>
      <c r="AG9" s="633"/>
      <c r="AH9" s="633"/>
      <c r="AI9" s="633"/>
      <c r="AJ9" s="633"/>
      <c r="AK9" s="633"/>
      <c r="AL9" s="633"/>
      <c r="AM9" s="633"/>
      <c r="AN9" s="633"/>
      <c r="AO9" s="633"/>
      <c r="AP9" s="633"/>
      <c r="AQ9" s="633"/>
      <c r="AR9" s="633"/>
      <c r="AS9" s="633"/>
      <c r="AT9" s="633"/>
      <c r="AU9" s="633"/>
      <c r="AV9" s="633"/>
      <c r="AW9" s="633"/>
      <c r="AX9" s="633"/>
      <c r="AY9" s="633"/>
      <c r="AZ9" s="633"/>
      <c r="BA9" s="633"/>
      <c r="BB9" s="633"/>
      <c r="BC9" s="633"/>
      <c r="BD9" s="633"/>
      <c r="BE9" s="633"/>
    </row>
    <row r="10" spans="1:57" customFormat="1" ht="15" x14ac:dyDescent="0.25">
      <c r="A10" s="633"/>
      <c r="B10" s="636"/>
      <c r="C10" s="636" t="s">
        <v>484</v>
      </c>
      <c r="D10" s="633"/>
      <c r="E10" s="633"/>
      <c r="F10" s="634"/>
      <c r="G10" s="634"/>
      <c r="H10" s="634"/>
      <c r="I10" s="634"/>
      <c r="J10" s="633"/>
      <c r="K10" s="635"/>
      <c r="L10" s="633"/>
      <c r="M10" s="633"/>
      <c r="N10" s="633"/>
      <c r="O10" s="633"/>
      <c r="P10" s="633"/>
      <c r="Q10" s="633"/>
      <c r="R10" s="633"/>
      <c r="S10" s="633"/>
      <c r="T10" s="633"/>
      <c r="U10" s="633"/>
      <c r="V10" s="633"/>
      <c r="W10" s="633"/>
      <c r="X10" s="633"/>
      <c r="Y10" s="634"/>
      <c r="Z10" s="635"/>
      <c r="AA10" s="635"/>
      <c r="AB10" s="633"/>
      <c r="AC10" s="633"/>
      <c r="AD10" s="633"/>
      <c r="AE10" s="633"/>
      <c r="AF10" s="633"/>
      <c r="AG10" s="633"/>
      <c r="AH10" s="633"/>
      <c r="AI10" s="633"/>
      <c r="AJ10" s="633"/>
      <c r="AK10" s="633"/>
      <c r="AL10" s="633"/>
      <c r="AM10" s="633"/>
      <c r="AN10" s="633"/>
      <c r="AO10" s="633"/>
      <c r="AP10" s="633"/>
      <c r="AQ10" s="633"/>
      <c r="AR10" s="633"/>
      <c r="AS10" s="633"/>
      <c r="AT10" s="633"/>
      <c r="AU10" s="633"/>
      <c r="AV10" s="633"/>
      <c r="AW10" s="633"/>
      <c r="AX10" s="633"/>
      <c r="AY10" s="633"/>
      <c r="AZ10" s="633"/>
      <c r="BA10" s="633"/>
      <c r="BB10" s="633"/>
      <c r="BC10" s="633"/>
      <c r="BD10" s="633"/>
      <c r="BE10" s="633"/>
    </row>
    <row r="11" spans="1:57" customFormat="1" ht="15" x14ac:dyDescent="0.25">
      <c r="A11" s="633"/>
      <c r="B11" s="636" t="s">
        <v>537</v>
      </c>
      <c r="C11" s="636"/>
      <c r="D11" s="633"/>
      <c r="E11" s="633"/>
      <c r="F11" s="634"/>
      <c r="G11" s="634"/>
      <c r="H11" s="634"/>
      <c r="I11" s="634"/>
      <c r="J11" s="633"/>
      <c r="K11" s="635"/>
      <c r="L11" s="633"/>
      <c r="M11" s="633"/>
      <c r="N11" s="633"/>
      <c r="O11" s="633"/>
      <c r="P11" s="633"/>
      <c r="Q11" s="633"/>
      <c r="R11" s="633"/>
      <c r="S11" s="633"/>
      <c r="T11" s="633"/>
      <c r="U11" s="633"/>
      <c r="V11" s="633"/>
      <c r="W11" s="633"/>
      <c r="X11" s="633"/>
      <c r="Y11" s="634"/>
      <c r="Z11" s="635"/>
      <c r="AA11" s="635"/>
      <c r="AB11" s="633"/>
      <c r="AC11" s="633"/>
      <c r="AD11" s="633"/>
      <c r="AE11" s="633"/>
      <c r="AF11" s="633"/>
      <c r="AG11" s="633"/>
      <c r="AH11" s="633"/>
      <c r="AI11" s="633"/>
      <c r="AJ11" s="633"/>
      <c r="AK11" s="633"/>
      <c r="AL11" s="633"/>
      <c r="AM11" s="633"/>
      <c r="AN11" s="633"/>
      <c r="AO11" s="633"/>
      <c r="AP11" s="633"/>
      <c r="AQ11" s="633"/>
      <c r="AR11" s="633"/>
      <c r="AS11" s="633"/>
      <c r="AT11" s="633"/>
      <c r="AU11" s="633"/>
      <c r="AV11" s="633"/>
      <c r="AW11" s="633"/>
      <c r="AX11" s="633"/>
      <c r="AY11" s="633"/>
      <c r="AZ11" s="633"/>
      <c r="BA11" s="633"/>
      <c r="BB11" s="633"/>
      <c r="BC11" s="633"/>
      <c r="BD11" s="633"/>
      <c r="BE11" s="633"/>
    </row>
    <row r="12" spans="1:57" customFormat="1" ht="15" x14ac:dyDescent="0.25">
      <c r="A12" s="633"/>
      <c r="B12" s="633"/>
      <c r="C12" s="633"/>
      <c r="D12" s="633"/>
      <c r="E12" s="633"/>
      <c r="F12" s="634"/>
      <c r="G12" s="634"/>
      <c r="H12" s="634"/>
      <c r="I12" s="634"/>
      <c r="J12" s="633"/>
      <c r="K12" s="635"/>
      <c r="L12" s="633"/>
      <c r="M12" s="633"/>
      <c r="N12" s="633"/>
      <c r="O12" s="633"/>
      <c r="P12" s="633"/>
      <c r="Q12" s="633"/>
      <c r="R12" s="633"/>
      <c r="S12" s="633"/>
      <c r="T12" s="633"/>
      <c r="U12" s="633"/>
      <c r="V12" s="633"/>
      <c r="W12" s="633"/>
      <c r="X12" s="633"/>
      <c r="Y12" s="634"/>
      <c r="Z12" s="635"/>
      <c r="AA12" s="635"/>
      <c r="AB12" s="633"/>
      <c r="AC12" s="633"/>
      <c r="AD12" s="633"/>
      <c r="AE12" s="633"/>
      <c r="AF12" s="633"/>
      <c r="AG12" s="633"/>
      <c r="AH12" s="633"/>
      <c r="AI12" s="633"/>
      <c r="AJ12" s="633"/>
      <c r="AK12" s="633"/>
      <c r="AL12" s="633"/>
      <c r="AM12" s="633"/>
      <c r="AN12" s="633"/>
      <c r="AO12" s="633"/>
      <c r="AP12" s="633"/>
      <c r="AQ12" s="633"/>
      <c r="AR12" s="633"/>
      <c r="AS12" s="633"/>
      <c r="AT12" s="633"/>
      <c r="AU12" s="633"/>
      <c r="AV12" s="633"/>
      <c r="AW12" s="633"/>
      <c r="AX12" s="633"/>
      <c r="AY12" s="633"/>
      <c r="AZ12" s="633"/>
      <c r="BA12" s="633"/>
      <c r="BB12" s="633"/>
      <c r="BC12" s="633"/>
      <c r="BD12" s="633"/>
      <c r="BE12" s="633"/>
    </row>
    <row r="13" spans="1:57" x14ac:dyDescent="0.2">
      <c r="A13" s="257"/>
      <c r="B13" s="208"/>
      <c r="C13" s="208"/>
      <c r="D13" s="210"/>
      <c r="E13" s="208"/>
      <c r="F13" s="653"/>
      <c r="G13" s="654"/>
      <c r="H13" s="208"/>
      <c r="I13" s="208"/>
      <c r="J13" s="208"/>
      <c r="K13" s="208"/>
      <c r="L13" s="208"/>
      <c r="M13" s="208"/>
      <c r="N13" s="208"/>
      <c r="O13" s="208"/>
      <c r="P13" s="208"/>
      <c r="Q13" s="208"/>
      <c r="R13" s="208"/>
      <c r="S13" s="208"/>
      <c r="T13" s="653"/>
      <c r="U13" s="654"/>
      <c r="V13" s="208"/>
      <c r="W13" s="208"/>
      <c r="X13" s="208"/>
      <c r="Y13" s="208"/>
      <c r="Z13" s="208"/>
      <c r="AA13" s="208"/>
      <c r="AB13" s="208"/>
      <c r="AC13" s="208"/>
      <c r="AD13" s="208"/>
      <c r="AE13" s="208"/>
      <c r="AF13" s="20"/>
      <c r="AG13" s="208"/>
      <c r="AH13" s="208"/>
      <c r="AI13" s="208"/>
      <c r="AJ13" s="208"/>
      <c r="AK13" s="208"/>
      <c r="AL13" s="208"/>
      <c r="AM13" s="208"/>
      <c r="AN13" s="208"/>
      <c r="AO13" s="30"/>
      <c r="AP13" s="30"/>
      <c r="AQ13" s="30"/>
      <c r="AR13" s="208"/>
      <c r="AS13" s="208"/>
      <c r="AT13" s="30"/>
      <c r="AU13" s="30"/>
      <c r="AV13" s="208"/>
      <c r="AW13" s="208"/>
      <c r="AX13" s="208"/>
      <c r="AY13" s="208"/>
      <c r="AZ13" s="208"/>
      <c r="BA13" s="208"/>
      <c r="BB13" s="208"/>
      <c r="BC13" s="208"/>
      <c r="BD13" s="208"/>
      <c r="BE13" s="20"/>
    </row>
    <row r="14" spans="1:57" ht="18" x14ac:dyDescent="0.25">
      <c r="A14" s="257"/>
      <c r="B14" s="490" t="s">
        <v>349</v>
      </c>
      <c r="C14" s="211"/>
      <c r="D14" s="211"/>
      <c r="E14" s="211"/>
      <c r="F14" s="653"/>
      <c r="G14" s="654"/>
      <c r="H14" s="208"/>
      <c r="I14" s="8" t="s">
        <v>487</v>
      </c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653"/>
      <c r="U14" s="654"/>
      <c r="V14" s="213"/>
      <c r="W14" s="490" t="s">
        <v>388</v>
      </c>
      <c r="X14" s="211"/>
      <c r="Y14" s="211"/>
      <c r="Z14" s="211"/>
      <c r="AA14" s="211"/>
      <c r="AB14" s="211"/>
      <c r="AC14" s="211"/>
      <c r="AD14" s="211"/>
      <c r="AE14" s="208"/>
      <c r="AF14" s="20"/>
      <c r="AG14" s="208"/>
      <c r="AH14" s="208"/>
      <c r="AI14" s="208"/>
      <c r="AJ14" s="208"/>
      <c r="AK14" s="208"/>
      <c r="AL14" s="208"/>
      <c r="AM14" s="208"/>
      <c r="AN14" s="208"/>
      <c r="AO14" s="211" t="s">
        <v>351</v>
      </c>
      <c r="AP14" s="211"/>
      <c r="AQ14" s="211"/>
      <c r="AR14" s="211"/>
      <c r="AS14" s="211"/>
      <c r="AT14" s="211"/>
      <c r="AU14" s="211"/>
      <c r="AV14" s="211"/>
      <c r="AW14" s="211"/>
      <c r="AX14" s="211"/>
      <c r="AY14" s="211"/>
      <c r="AZ14" s="211"/>
      <c r="BA14" s="211"/>
      <c r="BB14" s="211"/>
      <c r="BC14" s="211"/>
      <c r="BD14" s="208"/>
      <c r="BE14" s="20"/>
    </row>
    <row r="15" spans="1:57" ht="15.75" thickBot="1" x14ac:dyDescent="0.25">
      <c r="A15" s="257"/>
      <c r="B15" s="208"/>
      <c r="C15" s="30"/>
      <c r="D15" s="208"/>
      <c r="E15" s="208"/>
      <c r="F15" s="653"/>
      <c r="G15" s="654"/>
      <c r="H15" s="214"/>
      <c r="I15" s="214"/>
      <c r="J15" s="214"/>
      <c r="K15" s="214"/>
      <c r="L15" s="214"/>
      <c r="M15" s="214"/>
      <c r="N15" s="214"/>
      <c r="O15" s="30"/>
      <c r="P15" s="30"/>
      <c r="Q15" s="30"/>
      <c r="R15" s="30"/>
      <c r="S15" s="30"/>
      <c r="T15" s="653"/>
      <c r="U15" s="654"/>
      <c r="V15" s="208"/>
      <c r="W15" s="208"/>
      <c r="X15" s="208"/>
      <c r="Y15" s="208"/>
      <c r="Z15" s="208"/>
      <c r="AA15" s="208"/>
      <c r="AB15" s="208"/>
      <c r="AC15" s="208"/>
      <c r="AD15" s="208"/>
      <c r="AE15" s="208"/>
      <c r="AF15" s="20"/>
      <c r="AG15" s="30"/>
      <c r="AH15" s="30"/>
      <c r="AI15" s="208"/>
      <c r="AJ15" s="208"/>
      <c r="AK15" s="208"/>
      <c r="AL15" s="208"/>
      <c r="AM15" s="208"/>
      <c r="AN15" s="208"/>
      <c r="AO15" s="215"/>
      <c r="AP15" s="30"/>
      <c r="AQ15" s="30"/>
      <c r="AR15" s="208"/>
      <c r="AS15" s="208"/>
      <c r="AT15" s="30"/>
      <c r="AU15" s="30"/>
      <c r="AV15" s="217"/>
      <c r="AW15" s="217"/>
      <c r="AX15" s="217"/>
      <c r="AY15" s="217"/>
      <c r="AZ15" s="217"/>
      <c r="BA15" s="217"/>
      <c r="BB15" s="217"/>
      <c r="BC15" s="217"/>
      <c r="BD15" s="217"/>
      <c r="BE15" s="20"/>
    </row>
    <row r="16" spans="1:57" ht="16.5" thickBot="1" x14ac:dyDescent="0.3">
      <c r="A16" s="257"/>
      <c r="B16" s="45" t="s">
        <v>62</v>
      </c>
      <c r="C16" s="45" t="s">
        <v>63</v>
      </c>
      <c r="D16" s="45" t="s">
        <v>64</v>
      </c>
      <c r="E16" s="45" t="s">
        <v>65</v>
      </c>
      <c r="F16" s="653"/>
      <c r="G16" s="654"/>
      <c r="H16" s="214"/>
      <c r="I16" s="219" t="s">
        <v>162</v>
      </c>
      <c r="J16" s="214"/>
      <c r="K16" s="214"/>
      <c r="L16" s="214"/>
      <c r="M16" s="214"/>
      <c r="N16" s="214"/>
      <c r="O16" s="30"/>
      <c r="P16" s="30"/>
      <c r="Q16" s="30"/>
      <c r="R16" s="30"/>
      <c r="S16" s="30"/>
      <c r="T16" s="653"/>
      <c r="U16" s="654"/>
      <c r="V16" s="208"/>
      <c r="W16" s="219" t="s">
        <v>449</v>
      </c>
      <c r="X16" s="208"/>
      <c r="Y16" s="208"/>
      <c r="Z16" s="208"/>
      <c r="AA16" s="208"/>
      <c r="AB16" s="208"/>
      <c r="AC16" s="208"/>
      <c r="AD16" s="208"/>
      <c r="AE16" s="208"/>
      <c r="AF16" s="20"/>
      <c r="AG16" s="30"/>
      <c r="AH16" s="30"/>
      <c r="AI16" s="220" t="s">
        <v>316</v>
      </c>
      <c r="AJ16" s="208"/>
      <c r="AK16" s="208"/>
      <c r="AL16" s="208"/>
      <c r="AM16" s="208"/>
      <c r="AN16" s="208"/>
      <c r="AO16" s="221" t="s">
        <v>112</v>
      </c>
      <c r="AP16" s="208"/>
      <c r="AQ16" s="208"/>
      <c r="AR16" s="217"/>
      <c r="AS16" s="217"/>
      <c r="AT16" s="217"/>
      <c r="AU16" s="222" t="s">
        <v>31</v>
      </c>
      <c r="AV16" s="221"/>
      <c r="AW16" s="221"/>
      <c r="AX16" s="221"/>
      <c r="AY16" s="221"/>
      <c r="AZ16" s="221"/>
      <c r="BA16" s="221"/>
      <c r="BB16" s="221" t="s">
        <v>317</v>
      </c>
      <c r="BC16" s="222"/>
      <c r="BD16" s="217"/>
      <c r="BE16" s="20"/>
    </row>
    <row r="17" spans="1:57" ht="15" customHeight="1" thickBot="1" x14ac:dyDescent="0.25">
      <c r="A17" s="257"/>
      <c r="B17" s="208"/>
      <c r="C17" s="30"/>
      <c r="D17" s="208"/>
      <c r="E17" s="208"/>
      <c r="F17" s="653"/>
      <c r="G17" s="654"/>
      <c r="H17" s="214"/>
      <c r="I17" s="44" t="s">
        <v>417</v>
      </c>
      <c r="J17" s="214"/>
      <c r="K17" s="214"/>
      <c r="L17" s="214"/>
      <c r="M17" s="214"/>
      <c r="N17" s="214"/>
      <c r="O17" s="30"/>
      <c r="P17" s="30"/>
      <c r="Q17" s="30"/>
      <c r="R17" s="30"/>
      <c r="S17" s="30"/>
      <c r="T17" s="30"/>
      <c r="U17" s="654"/>
      <c r="V17" s="208"/>
      <c r="W17" s="6" t="s">
        <v>521</v>
      </c>
      <c r="X17" s="208"/>
      <c r="Y17" s="208"/>
      <c r="Z17" s="208"/>
      <c r="AA17" s="208"/>
      <c r="AB17" s="208"/>
      <c r="AC17" s="208"/>
      <c r="AD17" s="208"/>
      <c r="AE17" s="208"/>
      <c r="AF17" s="20"/>
      <c r="AG17" s="30"/>
      <c r="AH17" s="30"/>
      <c r="AI17" s="232" t="s">
        <v>331</v>
      </c>
      <c r="AJ17" s="232" t="s">
        <v>326</v>
      </c>
      <c r="AK17" s="232" t="s">
        <v>328</v>
      </c>
      <c r="AL17" s="232" t="s">
        <v>282</v>
      </c>
      <c r="AM17" s="232" t="s">
        <v>332</v>
      </c>
      <c r="AN17" s="223"/>
      <c r="AO17" s="224"/>
      <c r="AP17" s="225"/>
      <c r="AQ17" s="225"/>
      <c r="AR17" s="226" t="s">
        <v>330</v>
      </c>
      <c r="AS17" s="226" t="s">
        <v>329</v>
      </c>
      <c r="AT17" s="217"/>
      <c r="AU17" s="225"/>
      <c r="AV17" s="225"/>
      <c r="AW17" s="225"/>
      <c r="AX17" s="225" t="s">
        <v>411</v>
      </c>
      <c r="AY17" s="225"/>
      <c r="AZ17" s="227" t="s">
        <v>318</v>
      </c>
      <c r="BA17" s="225"/>
      <c r="BB17" s="226" t="s">
        <v>330</v>
      </c>
      <c r="BC17" s="226" t="s">
        <v>329</v>
      </c>
      <c r="BD17" s="217"/>
      <c r="BE17" s="20"/>
    </row>
    <row r="18" spans="1:57" ht="15.75" customHeight="1" thickBot="1" x14ac:dyDescent="0.25">
      <c r="A18" s="257"/>
      <c r="B18" s="223">
        <v>1</v>
      </c>
      <c r="C18" s="228" t="s">
        <v>321</v>
      </c>
      <c r="D18" s="47" t="s">
        <v>322</v>
      </c>
      <c r="E18" s="260">
        <v>6</v>
      </c>
      <c r="F18" s="151" t="str">
        <f>IF(ISNUMBER(E18),"","Err")</f>
        <v/>
      </c>
      <c r="G18" s="644"/>
      <c r="H18" s="30"/>
      <c r="I18" s="465" t="s">
        <v>418</v>
      </c>
      <c r="J18" s="214"/>
      <c r="K18" s="214"/>
      <c r="L18" s="214"/>
      <c r="M18" s="214"/>
      <c r="N18" s="214"/>
      <c r="O18" s="30"/>
      <c r="P18" s="30"/>
      <c r="Q18" s="30"/>
      <c r="R18" s="30"/>
      <c r="S18" s="30"/>
      <c r="T18" s="30"/>
      <c r="U18" s="654"/>
      <c r="V18" s="208"/>
      <c r="W18" s="6" t="s">
        <v>523</v>
      </c>
      <c r="X18" s="208"/>
      <c r="Y18" s="208"/>
      <c r="Z18" s="208"/>
      <c r="AA18" s="208"/>
      <c r="AB18" s="208"/>
      <c r="AC18" s="208"/>
      <c r="AD18" s="208"/>
      <c r="AE18" s="208"/>
      <c r="AF18" s="20"/>
      <c r="AG18" s="30"/>
      <c r="AH18" s="30"/>
      <c r="AI18" s="240">
        <f>E19</f>
        <v>0.5</v>
      </c>
      <c r="AJ18" s="240">
        <f>E20</f>
        <v>0.1</v>
      </c>
      <c r="AK18" s="240">
        <f>E21</f>
        <v>15</v>
      </c>
      <c r="AL18" s="240">
        <f>E28</f>
        <v>5</v>
      </c>
      <c r="AM18" s="240">
        <f>E44</f>
        <v>11.25</v>
      </c>
      <c r="AN18" s="233"/>
      <c r="AO18" s="448">
        <v>0</v>
      </c>
      <c r="AP18" s="234" t="s">
        <v>333</v>
      </c>
      <c r="AQ18" s="23"/>
      <c r="AR18" s="235">
        <f>AO18*AM18</f>
        <v>0</v>
      </c>
      <c r="AS18" s="236">
        <f>AI18</f>
        <v>0.5</v>
      </c>
      <c r="AT18" s="23"/>
      <c r="AU18" s="307" t="str">
        <f t="shared" ref="AU18:AU26" si="0">IF(AR18&gt;=1.05*AS18,"уменьшить","увеличить")&amp;" ток одной фазы до"</f>
        <v>увеличить ток одной фазы до</v>
      </c>
      <c r="AV18" s="307"/>
      <c r="AW18" s="300"/>
      <c r="AX18" s="304">
        <f>ABS(AR18-AS18)</f>
        <v>0.5</v>
      </c>
      <c r="AY18" s="23"/>
      <c r="AZ18" s="453">
        <v>0</v>
      </c>
      <c r="BA18" s="23" t="str">
        <f>IF(ISNUMBER(AZ18),"","Err")</f>
        <v/>
      </c>
      <c r="BB18" s="235">
        <f t="shared" ref="BB18:BB23" si="1">AR18</f>
        <v>0</v>
      </c>
      <c r="BC18" s="236">
        <f t="shared" ref="BC18:BC25" si="2">IF(OR(AZ18="",AZ18=0),AS18,ABS(AR18-AZ18))</f>
        <v>0.5</v>
      </c>
      <c r="BD18" s="217"/>
      <c r="BE18" s="20"/>
    </row>
    <row r="19" spans="1:57" ht="15" customHeight="1" thickBot="1" x14ac:dyDescent="0.25">
      <c r="A19" s="257"/>
      <c r="B19" s="223">
        <v>2</v>
      </c>
      <c r="C19" s="228" t="s">
        <v>323</v>
      </c>
      <c r="D19" s="47" t="s">
        <v>324</v>
      </c>
      <c r="E19" s="261">
        <v>0.5</v>
      </c>
      <c r="F19" s="151" t="str">
        <f>IF(ISNUMBER(E19),"","Err")</f>
        <v/>
      </c>
      <c r="G19" s="644"/>
      <c r="H19" s="30"/>
      <c r="I19" s="675" t="s">
        <v>419</v>
      </c>
      <c r="J19" s="214"/>
      <c r="K19" s="214"/>
      <c r="L19" s="214"/>
      <c r="M19" s="214"/>
      <c r="N19" s="214"/>
      <c r="O19" s="30"/>
      <c r="P19" s="30"/>
      <c r="Q19" s="30"/>
      <c r="R19" s="30"/>
      <c r="S19" s="30"/>
      <c r="T19" s="30"/>
      <c r="U19" s="654"/>
      <c r="V19" s="208"/>
      <c r="W19" s="6" t="s">
        <v>490</v>
      </c>
      <c r="X19" s="208"/>
      <c r="Y19" s="208"/>
      <c r="Z19" s="208"/>
      <c r="AA19" s="208"/>
      <c r="AB19" s="208"/>
      <c r="AC19" s="208"/>
      <c r="AD19" s="208"/>
      <c r="AE19" s="208"/>
      <c r="AF19" s="20"/>
      <c r="AG19" s="30"/>
      <c r="AH19" s="30"/>
      <c r="AI19" s="240">
        <f>AI18</f>
        <v>0.5</v>
      </c>
      <c r="AJ19" s="240">
        <f>AJ18</f>
        <v>0.1</v>
      </c>
      <c r="AK19" s="240">
        <f>AK18</f>
        <v>15</v>
      </c>
      <c r="AL19" s="240">
        <f>AL18</f>
        <v>5</v>
      </c>
      <c r="AM19" s="240">
        <f>AM18</f>
        <v>11.25</v>
      </c>
      <c r="AN19" s="241"/>
      <c r="AO19" s="449">
        <v>0.1</v>
      </c>
      <c r="AP19" s="242" t="s">
        <v>333</v>
      </c>
      <c r="AQ19" s="30"/>
      <c r="AR19" s="243">
        <f>ROUNDDOWN(AO19*AM19,1)</f>
        <v>1.1000000000000001</v>
      </c>
      <c r="AS19" s="244">
        <f>AI19</f>
        <v>0.5</v>
      </c>
      <c r="AT19" s="30"/>
      <c r="AU19" s="308" t="str">
        <f t="shared" si="0"/>
        <v>уменьшить ток одной фазы до</v>
      </c>
      <c r="AV19" s="308"/>
      <c r="AW19" s="298"/>
      <c r="AX19" s="305">
        <f t="shared" ref="AX19:AX26" si="3">ABS(AR19-AS19)</f>
        <v>0.60000000000000009</v>
      </c>
      <c r="AY19" s="30"/>
      <c r="AZ19" s="454">
        <v>0</v>
      </c>
      <c r="BA19" s="30" t="str">
        <f t="shared" ref="BA19:BA26" si="4">IF(ISNUMBER(AZ19),"","Err")</f>
        <v/>
      </c>
      <c r="BB19" s="243">
        <f t="shared" si="1"/>
        <v>1.1000000000000001</v>
      </c>
      <c r="BC19" s="244">
        <f t="shared" si="2"/>
        <v>0.5</v>
      </c>
      <c r="BD19" s="208"/>
      <c r="BE19" s="20"/>
    </row>
    <row r="20" spans="1:57" ht="15.75" customHeight="1" thickBot="1" x14ac:dyDescent="0.25">
      <c r="A20" s="257"/>
      <c r="B20" s="223">
        <v>3</v>
      </c>
      <c r="C20" s="228" t="s">
        <v>325</v>
      </c>
      <c r="D20" s="47" t="s">
        <v>326</v>
      </c>
      <c r="E20" s="270">
        <v>0.1</v>
      </c>
      <c r="F20" s="151" t="str">
        <f>IF(ISNUMBER(E20),"","Err")</f>
        <v/>
      </c>
      <c r="G20" s="644"/>
      <c r="H20" s="30"/>
      <c r="I20" s="675" t="s">
        <v>422</v>
      </c>
      <c r="J20" s="214"/>
      <c r="K20" s="214"/>
      <c r="L20" s="214"/>
      <c r="M20" s="214"/>
      <c r="N20" s="214"/>
      <c r="O20" s="30"/>
      <c r="P20" s="30"/>
      <c r="Q20" s="30"/>
      <c r="R20" s="30"/>
      <c r="S20" s="30"/>
      <c r="T20" s="30"/>
      <c r="U20" s="654"/>
      <c r="V20" s="208"/>
      <c r="W20" s="6" t="s">
        <v>489</v>
      </c>
      <c r="X20" s="208"/>
      <c r="Y20" s="208"/>
      <c r="Z20" s="208"/>
      <c r="AA20" s="208"/>
      <c r="AB20" s="208"/>
      <c r="AC20" s="208"/>
      <c r="AD20" s="208"/>
      <c r="AE20" s="208"/>
      <c r="AF20" s="20"/>
      <c r="AG20" s="30"/>
      <c r="AH20" s="246"/>
      <c r="AI20" s="240">
        <f t="shared" ref="AI20:AK26" si="5">AI19</f>
        <v>0.5</v>
      </c>
      <c r="AJ20" s="240">
        <f t="shared" si="5"/>
        <v>0.1</v>
      </c>
      <c r="AK20" s="240">
        <f t="shared" si="5"/>
        <v>15</v>
      </c>
      <c r="AL20" s="240">
        <f t="shared" ref="AL20:AL25" si="6">AL19</f>
        <v>5</v>
      </c>
      <c r="AM20" s="240">
        <f t="shared" ref="AM20:AM25" si="7">AM19</f>
        <v>11.25</v>
      </c>
      <c r="AN20" s="241"/>
      <c r="AO20" s="449">
        <v>0.5</v>
      </c>
      <c r="AP20" s="242" t="s">
        <v>334</v>
      </c>
      <c r="AQ20" s="30"/>
      <c r="AR20" s="243">
        <f>ROUNDDOWN(AO20*AM20,1)</f>
        <v>5.6</v>
      </c>
      <c r="AS20" s="244">
        <f>AI20</f>
        <v>0.5</v>
      </c>
      <c r="AT20" s="30"/>
      <c r="AU20" s="308" t="str">
        <f t="shared" si="0"/>
        <v>уменьшить ток одной фазы до</v>
      </c>
      <c r="AV20" s="308"/>
      <c r="AW20" s="298"/>
      <c r="AX20" s="305">
        <f t="shared" si="3"/>
        <v>5.0999999999999996</v>
      </c>
      <c r="AY20" s="30"/>
      <c r="AZ20" s="454">
        <v>0</v>
      </c>
      <c r="BA20" s="30" t="str">
        <f t="shared" si="4"/>
        <v/>
      </c>
      <c r="BB20" s="243">
        <f t="shared" si="1"/>
        <v>5.6</v>
      </c>
      <c r="BC20" s="244">
        <f t="shared" si="2"/>
        <v>0.5</v>
      </c>
      <c r="BD20" s="208"/>
      <c r="BE20" s="20"/>
    </row>
    <row r="21" spans="1:57" ht="15.75" customHeight="1" thickBot="1" x14ac:dyDescent="0.25">
      <c r="A21" s="257"/>
      <c r="B21" s="223">
        <v>4</v>
      </c>
      <c r="C21" s="228" t="s">
        <v>327</v>
      </c>
      <c r="D21" s="47" t="s">
        <v>328</v>
      </c>
      <c r="E21" s="261">
        <v>15</v>
      </c>
      <c r="F21" s="151" t="str">
        <f>IF(ISNUMBER(E21),"","Err")</f>
        <v/>
      </c>
      <c r="G21" s="644"/>
      <c r="H21" s="30"/>
      <c r="I21" s="675" t="s">
        <v>420</v>
      </c>
      <c r="J21" s="214"/>
      <c r="K21" s="214"/>
      <c r="L21" s="214"/>
      <c r="M21" s="214"/>
      <c r="N21" s="214"/>
      <c r="O21" s="30"/>
      <c r="P21" s="30"/>
      <c r="Q21" s="30"/>
      <c r="R21" s="30"/>
      <c r="S21" s="30"/>
      <c r="T21" s="30"/>
      <c r="U21" s="654"/>
      <c r="V21" s="208"/>
      <c r="W21" s="208"/>
      <c r="X21" s="208"/>
      <c r="Y21" s="208"/>
      <c r="Z21" s="208"/>
      <c r="AA21" s="208"/>
      <c r="AB21" s="208"/>
      <c r="AC21" s="208"/>
      <c r="AD21" s="208"/>
      <c r="AE21" s="208"/>
      <c r="AF21" s="20"/>
      <c r="AG21" s="30"/>
      <c r="AH21" s="246"/>
      <c r="AI21" s="240">
        <f t="shared" si="5"/>
        <v>0.5</v>
      </c>
      <c r="AJ21" s="240">
        <f t="shared" si="5"/>
        <v>0.1</v>
      </c>
      <c r="AK21" s="240">
        <f t="shared" si="5"/>
        <v>15</v>
      </c>
      <c r="AL21" s="240">
        <f t="shared" si="6"/>
        <v>5</v>
      </c>
      <c r="AM21" s="240">
        <f t="shared" si="7"/>
        <v>11.25</v>
      </c>
      <c r="AN21" s="241"/>
      <c r="AO21" s="449">
        <v>0.9</v>
      </c>
      <c r="AP21" s="242" t="s">
        <v>334</v>
      </c>
      <c r="AQ21" s="30"/>
      <c r="AR21" s="243">
        <f>ROUNDDOWN(AO21*AM21,1)</f>
        <v>10.1</v>
      </c>
      <c r="AS21" s="244">
        <f>AI21</f>
        <v>0.5</v>
      </c>
      <c r="AT21" s="30"/>
      <c r="AU21" s="308" t="str">
        <f t="shared" si="0"/>
        <v>уменьшить ток одной фазы до</v>
      </c>
      <c r="AV21" s="308"/>
      <c r="AW21" s="298"/>
      <c r="AX21" s="305">
        <f t="shared" si="3"/>
        <v>9.6</v>
      </c>
      <c r="AY21" s="30"/>
      <c r="AZ21" s="454">
        <v>0</v>
      </c>
      <c r="BA21" s="30" t="str">
        <f t="shared" si="4"/>
        <v/>
      </c>
      <c r="BB21" s="243">
        <f t="shared" si="1"/>
        <v>10.1</v>
      </c>
      <c r="BC21" s="244">
        <f t="shared" si="2"/>
        <v>0.5</v>
      </c>
      <c r="BD21" s="208"/>
      <c r="BE21" s="20"/>
    </row>
    <row r="22" spans="1:57" ht="15.75" customHeight="1" thickBot="1" x14ac:dyDescent="0.25">
      <c r="A22" s="214"/>
      <c r="B22" s="41"/>
      <c r="C22" s="41"/>
      <c r="D22" s="41"/>
      <c r="E22" s="41"/>
      <c r="F22" s="653"/>
      <c r="G22" s="654"/>
      <c r="H22" s="214"/>
      <c r="I22" s="465" t="s">
        <v>421</v>
      </c>
      <c r="J22" s="214"/>
      <c r="K22" s="214"/>
      <c r="L22" s="214"/>
      <c r="M22" s="214"/>
      <c r="N22" s="214"/>
      <c r="O22" s="30"/>
      <c r="P22" s="30"/>
      <c r="Q22" s="30"/>
      <c r="R22" s="30"/>
      <c r="S22" s="30"/>
      <c r="T22" s="30"/>
      <c r="U22" s="654"/>
      <c r="V22" s="208"/>
      <c r="W22" s="664" t="s">
        <v>383</v>
      </c>
      <c r="X22" s="214"/>
      <c r="Y22" s="229">
        <v>5</v>
      </c>
      <c r="Z22" s="789" t="s">
        <v>319</v>
      </c>
      <c r="AA22" s="230" t="s">
        <v>384</v>
      </c>
      <c r="AB22" s="231">
        <f>Y22</f>
        <v>5</v>
      </c>
      <c r="AC22" s="257"/>
      <c r="AD22" s="257"/>
      <c r="AE22" s="208"/>
      <c r="AF22" s="20"/>
      <c r="AG22" s="30"/>
      <c r="AH22" s="246"/>
      <c r="AI22" s="240">
        <f t="shared" si="5"/>
        <v>0.5</v>
      </c>
      <c r="AJ22" s="240">
        <f t="shared" si="5"/>
        <v>0.1</v>
      </c>
      <c r="AK22" s="240">
        <f t="shared" si="5"/>
        <v>15</v>
      </c>
      <c r="AL22" s="240">
        <f t="shared" si="6"/>
        <v>5</v>
      </c>
      <c r="AM22" s="240">
        <f t="shared" si="7"/>
        <v>11.25</v>
      </c>
      <c r="AN22" s="241"/>
      <c r="AO22" s="450">
        <v>1</v>
      </c>
      <c r="AP22" s="242" t="s">
        <v>334</v>
      </c>
      <c r="AQ22" s="41"/>
      <c r="AR22" s="248">
        <f>AO22*AM22</f>
        <v>11.25</v>
      </c>
      <c r="AS22" s="249">
        <f>AI22</f>
        <v>0.5</v>
      </c>
      <c r="AT22" s="41"/>
      <c r="AU22" s="309" t="str">
        <f t="shared" si="0"/>
        <v>уменьшить ток одной фазы до</v>
      </c>
      <c r="AV22" s="309"/>
      <c r="AW22" s="299"/>
      <c r="AX22" s="306">
        <f t="shared" si="3"/>
        <v>10.75</v>
      </c>
      <c r="AY22" s="41"/>
      <c r="AZ22" s="455">
        <v>0</v>
      </c>
      <c r="BA22" s="41" t="str">
        <f t="shared" si="4"/>
        <v/>
      </c>
      <c r="BB22" s="248">
        <f t="shared" si="1"/>
        <v>11.25</v>
      </c>
      <c r="BC22" s="249">
        <f t="shared" si="2"/>
        <v>0.5</v>
      </c>
      <c r="BD22" s="208"/>
      <c r="BE22" s="20"/>
    </row>
    <row r="23" spans="1:57" ht="15.75" customHeight="1" x14ac:dyDescent="0.2">
      <c r="A23" s="214"/>
      <c r="B23" s="208"/>
      <c r="C23" s="208"/>
      <c r="D23" s="208"/>
      <c r="E23" s="208"/>
      <c r="F23" s="653"/>
      <c r="G23" s="654"/>
      <c r="H23" s="30"/>
      <c r="I23" s="640" t="s">
        <v>69</v>
      </c>
      <c r="J23" s="214"/>
      <c r="K23" s="214"/>
      <c r="L23" s="214"/>
      <c r="M23" s="214"/>
      <c r="N23" s="214"/>
      <c r="O23" s="30"/>
      <c r="P23" s="30"/>
      <c r="Q23" s="30"/>
      <c r="R23" s="30"/>
      <c r="S23" s="30"/>
      <c r="T23" s="30"/>
      <c r="U23" s="654"/>
      <c r="V23" s="208"/>
      <c r="W23" s="664" t="s">
        <v>385</v>
      </c>
      <c r="X23" s="214"/>
      <c r="Y23" s="237">
        <v>6</v>
      </c>
      <c r="Z23" s="789"/>
      <c r="AA23" s="238" t="s">
        <v>329</v>
      </c>
      <c r="AB23" s="239">
        <f>ABS(Y22-Y23)</f>
        <v>1</v>
      </c>
      <c r="AC23" s="257"/>
      <c r="AD23" s="257"/>
      <c r="AE23" s="208"/>
      <c r="AF23" s="20"/>
      <c r="AG23" s="30"/>
      <c r="AH23" s="246"/>
      <c r="AI23" s="240">
        <f t="shared" si="5"/>
        <v>0.5</v>
      </c>
      <c r="AJ23" s="240">
        <f t="shared" si="5"/>
        <v>0.1</v>
      </c>
      <c r="AK23" s="240">
        <f t="shared" si="5"/>
        <v>15</v>
      </c>
      <c r="AL23" s="240">
        <f t="shared" si="6"/>
        <v>5</v>
      </c>
      <c r="AM23" s="240">
        <f t="shared" si="7"/>
        <v>11.25</v>
      </c>
      <c r="AN23" s="241"/>
      <c r="AO23" s="451">
        <v>0.1</v>
      </c>
      <c r="AP23" s="234" t="s">
        <v>335</v>
      </c>
      <c r="AQ23" s="30"/>
      <c r="AR23" s="313">
        <f>ROUNDUP(AO23*(AK23-AM23) + AM23,0)</f>
        <v>12</v>
      </c>
      <c r="AS23" s="251">
        <f>AJ23*(AR23-1.25*AL23)</f>
        <v>0.57500000000000007</v>
      </c>
      <c r="AT23" s="30"/>
      <c r="AU23" s="310" t="str">
        <f t="shared" si="0"/>
        <v>уменьшить ток одной фазы до</v>
      </c>
      <c r="AV23" s="310"/>
      <c r="AW23" s="298"/>
      <c r="AX23" s="304">
        <f t="shared" si="3"/>
        <v>11.425000000000001</v>
      </c>
      <c r="AY23" s="30"/>
      <c r="AZ23" s="456">
        <v>0</v>
      </c>
      <c r="BA23" s="30" t="str">
        <f t="shared" si="4"/>
        <v/>
      </c>
      <c r="BB23" s="250">
        <f t="shared" si="1"/>
        <v>12</v>
      </c>
      <c r="BC23" s="251">
        <f t="shared" si="2"/>
        <v>0.57500000000000007</v>
      </c>
      <c r="BD23" s="208"/>
      <c r="BE23" s="20"/>
    </row>
    <row r="24" spans="1:57" ht="15.75" customHeight="1" x14ac:dyDescent="0.25">
      <c r="A24" s="214"/>
      <c r="B24" s="490" t="s">
        <v>161</v>
      </c>
      <c r="C24" s="211"/>
      <c r="D24" s="211"/>
      <c r="E24" s="211"/>
      <c r="F24" s="653"/>
      <c r="G24" s="654"/>
      <c r="H24" s="30"/>
      <c r="I24" s="675" t="s">
        <v>423</v>
      </c>
      <c r="J24" s="214"/>
      <c r="K24" s="214"/>
      <c r="L24" s="214"/>
      <c r="M24" s="214"/>
      <c r="N24" s="214"/>
      <c r="O24" s="30"/>
      <c r="P24" s="30"/>
      <c r="Q24" s="30"/>
      <c r="R24" s="30"/>
      <c r="S24" s="30"/>
      <c r="T24" s="30"/>
      <c r="U24" s="654"/>
      <c r="V24" s="208"/>
      <c r="W24" s="208"/>
      <c r="X24" s="208"/>
      <c r="Y24" s="245"/>
      <c r="Z24" s="208"/>
      <c r="AA24" s="208"/>
      <c r="AB24" s="208"/>
      <c r="AC24" s="221"/>
      <c r="AD24" s="221"/>
      <c r="AE24" s="208"/>
      <c r="AF24" s="20"/>
      <c r="AG24" s="30"/>
      <c r="AH24" s="246"/>
      <c r="AI24" s="240">
        <f t="shared" si="5"/>
        <v>0.5</v>
      </c>
      <c r="AJ24" s="240">
        <f t="shared" si="5"/>
        <v>0.1</v>
      </c>
      <c r="AK24" s="240">
        <f t="shared" si="5"/>
        <v>15</v>
      </c>
      <c r="AL24" s="240">
        <f t="shared" si="6"/>
        <v>5</v>
      </c>
      <c r="AM24" s="240">
        <f t="shared" si="7"/>
        <v>11.25</v>
      </c>
      <c r="AN24" s="241"/>
      <c r="AO24" s="449">
        <v>0.5</v>
      </c>
      <c r="AP24" s="242" t="s">
        <v>335</v>
      </c>
      <c r="AQ24" s="30"/>
      <c r="AR24" s="314">
        <f>ROUNDUP(AO24*(AK24-AM24) + AM24,1)</f>
        <v>13.2</v>
      </c>
      <c r="AS24" s="244">
        <f>AJ24*(AR24-1.25*AL24)</f>
        <v>0.69499999999999995</v>
      </c>
      <c r="AT24" s="30"/>
      <c r="AU24" s="308" t="str">
        <f t="shared" si="0"/>
        <v>уменьшить ток одной фазы до</v>
      </c>
      <c r="AV24" s="308"/>
      <c r="AW24" s="298"/>
      <c r="AX24" s="305">
        <f t="shared" si="3"/>
        <v>12.504999999999999</v>
      </c>
      <c r="AY24" s="30"/>
      <c r="AZ24" s="454">
        <v>0</v>
      </c>
      <c r="BA24" s="30" t="str">
        <f t="shared" si="4"/>
        <v/>
      </c>
      <c r="BB24" s="243">
        <f>IF(AR24&gt;=E21,"Не. сраб.",AR24)</f>
        <v>13.2</v>
      </c>
      <c r="BC24" s="244">
        <f t="shared" si="2"/>
        <v>0.69499999999999995</v>
      </c>
      <c r="BD24" s="208"/>
      <c r="BE24" s="20"/>
    </row>
    <row r="25" spans="1:57" ht="15" customHeight="1" thickBot="1" x14ac:dyDescent="0.3">
      <c r="A25" s="214"/>
      <c r="B25" s="41"/>
      <c r="C25" s="41"/>
      <c r="D25" s="41"/>
      <c r="E25" s="41"/>
      <c r="F25" s="653"/>
      <c r="G25" s="654"/>
      <c r="H25" s="30"/>
      <c r="I25" s="675"/>
      <c r="J25" s="214"/>
      <c r="K25" s="214"/>
      <c r="L25" s="214"/>
      <c r="M25" s="214"/>
      <c r="N25" s="214"/>
      <c r="O25" s="30"/>
      <c r="P25" s="30"/>
      <c r="Q25" s="30"/>
      <c r="R25" s="30"/>
      <c r="S25" s="30"/>
      <c r="T25" s="30"/>
      <c r="U25" s="654"/>
      <c r="V25" s="208"/>
      <c r="W25" s="785" t="s">
        <v>493</v>
      </c>
      <c r="X25" s="638" t="str">
        <f>IF(Y39=1,"область срабатывания","")</f>
        <v>область срабатывания</v>
      </c>
      <c r="Y25" s="208"/>
      <c r="Z25" s="208"/>
      <c r="AA25" s="208"/>
      <c r="AB25" s="208"/>
      <c r="AC25" s="221"/>
      <c r="AD25" s="221"/>
      <c r="AE25" s="208"/>
      <c r="AF25" s="20"/>
      <c r="AG25" s="30"/>
      <c r="AH25" s="246"/>
      <c r="AI25" s="240">
        <f t="shared" si="5"/>
        <v>0.5</v>
      </c>
      <c r="AJ25" s="240">
        <f t="shared" si="5"/>
        <v>0.1</v>
      </c>
      <c r="AK25" s="240">
        <f t="shared" si="5"/>
        <v>15</v>
      </c>
      <c r="AL25" s="240">
        <f t="shared" si="6"/>
        <v>5</v>
      </c>
      <c r="AM25" s="240">
        <f t="shared" si="7"/>
        <v>11.25</v>
      </c>
      <c r="AN25" s="241"/>
      <c r="AO25" s="452">
        <v>0.9</v>
      </c>
      <c r="AP25" s="242" t="s">
        <v>335</v>
      </c>
      <c r="AQ25" s="30"/>
      <c r="AR25" s="314">
        <f>ROUNDUP(AO25*(AK25-AM25) + AM25,1)</f>
        <v>14.7</v>
      </c>
      <c r="AS25" s="244">
        <f>AJ25*(AR25-1.25*AL25)</f>
        <v>0.84499999999999997</v>
      </c>
      <c r="AT25" s="30"/>
      <c r="AU25" s="308" t="str">
        <f t="shared" si="0"/>
        <v>уменьшить ток одной фазы до</v>
      </c>
      <c r="AV25" s="308"/>
      <c r="AW25" s="298"/>
      <c r="AX25" s="305">
        <f t="shared" si="3"/>
        <v>13.854999999999999</v>
      </c>
      <c r="AY25" s="30"/>
      <c r="AZ25" s="454">
        <v>0</v>
      </c>
      <c r="BA25" s="30" t="str">
        <f t="shared" si="4"/>
        <v/>
      </c>
      <c r="BB25" s="243">
        <f>IF(AR25&gt;=E21,"Не. сраб.",AR25)</f>
        <v>14.7</v>
      </c>
      <c r="BC25" s="244">
        <f t="shared" si="2"/>
        <v>0.84499999999999997</v>
      </c>
      <c r="BD25" s="208"/>
      <c r="BE25" s="20"/>
    </row>
    <row r="26" spans="1:57" ht="18.75" customHeight="1" thickBot="1" x14ac:dyDescent="0.25">
      <c r="A26" s="214"/>
      <c r="B26" s="218" t="s">
        <v>62</v>
      </c>
      <c r="C26" s="266" t="s">
        <v>63</v>
      </c>
      <c r="D26" s="218" t="s">
        <v>67</v>
      </c>
      <c r="E26" s="218" t="s">
        <v>68</v>
      </c>
      <c r="F26" s="653"/>
      <c r="G26" s="654"/>
      <c r="H26" s="687" t="s">
        <v>320</v>
      </c>
      <c r="I26" s="642" t="s">
        <v>588</v>
      </c>
      <c r="J26" s="214"/>
      <c r="K26" s="214"/>
      <c r="L26" s="214"/>
      <c r="M26" s="214"/>
      <c r="N26" s="214"/>
      <c r="O26" s="30"/>
      <c r="P26" s="30"/>
      <c r="Q26" s="30"/>
      <c r="R26" s="30"/>
      <c r="S26" s="30"/>
      <c r="T26" s="30"/>
      <c r="U26" s="654"/>
      <c r="V26" s="208"/>
      <c r="W26" s="785"/>
      <c r="X26" s="639" t="str">
        <f>IF(Y39=1,"","область не срабатывания")</f>
        <v/>
      </c>
      <c r="Y26" s="208"/>
      <c r="Z26" s="208"/>
      <c r="AA26" s="208"/>
      <c r="AB26" s="208"/>
      <c r="AC26" s="221"/>
      <c r="AD26" s="221"/>
      <c r="AE26" s="208"/>
      <c r="AF26" s="20"/>
      <c r="AG26" s="30"/>
      <c r="AH26" s="30"/>
      <c r="AI26" s="240">
        <f t="shared" si="5"/>
        <v>0.5</v>
      </c>
      <c r="AJ26" s="240">
        <f t="shared" si="5"/>
        <v>0.1</v>
      </c>
      <c r="AK26" s="240">
        <f t="shared" si="5"/>
        <v>15</v>
      </c>
      <c r="AL26" s="240">
        <f>AL25</f>
        <v>5</v>
      </c>
      <c r="AM26" s="240">
        <f>AM25</f>
        <v>11.25</v>
      </c>
      <c r="AN26" s="241"/>
      <c r="AO26" s="447">
        <v>1.1000000000000001</v>
      </c>
      <c r="AP26" s="247" t="s">
        <v>335</v>
      </c>
      <c r="AQ26" s="41"/>
      <c r="AR26" s="311">
        <f>ROUNDUP(AO26*(AK26-AM26) + AM26,1)</f>
        <v>15.4</v>
      </c>
      <c r="AS26" s="249">
        <f>AJ26*(AR26-1.25*AL26)</f>
        <v>0.91500000000000004</v>
      </c>
      <c r="AT26" s="41"/>
      <c r="AU26" s="309" t="str">
        <f t="shared" si="0"/>
        <v>уменьшить ток одной фазы до</v>
      </c>
      <c r="AV26" s="309"/>
      <c r="AW26" s="299"/>
      <c r="AX26" s="306">
        <f t="shared" si="3"/>
        <v>14.484999999999999</v>
      </c>
      <c r="AY26" s="41"/>
      <c r="AZ26" s="455">
        <v>0</v>
      </c>
      <c r="BA26" s="41" t="str">
        <f t="shared" si="4"/>
        <v/>
      </c>
      <c r="BB26" s="248" t="str">
        <f>IF(AR26&gt;=E21,"Не. сраб.",AR26)</f>
        <v>Не. сраб.</v>
      </c>
      <c r="BC26" s="312" t="str">
        <f>IF(AR26&gt;=E21,"Не. сраб.",IF(OR(AZ26="",AZ26=0),AS26,ABS(AR26-AZ26)))</f>
        <v>Не. сраб.</v>
      </c>
      <c r="BD26" s="208"/>
      <c r="BE26" s="20"/>
    </row>
    <row r="27" spans="1:57" ht="15.75" customHeight="1" x14ac:dyDescent="0.2">
      <c r="A27" s="214"/>
      <c r="B27" s="30"/>
      <c r="C27" s="30"/>
      <c r="D27" s="30"/>
      <c r="E27" s="30"/>
      <c r="F27" s="653"/>
      <c r="G27" s="654"/>
      <c r="H27" s="326"/>
      <c r="I27" s="642" t="s">
        <v>587</v>
      </c>
      <c r="J27" s="214"/>
      <c r="K27" s="214"/>
      <c r="L27" s="214"/>
      <c r="M27" s="214"/>
      <c r="N27" s="214"/>
      <c r="O27" s="30"/>
      <c r="P27" s="30"/>
      <c r="Q27" s="30"/>
      <c r="R27" s="30"/>
      <c r="S27" s="30"/>
      <c r="T27" s="30"/>
      <c r="U27" s="654"/>
      <c r="V27" s="208"/>
      <c r="W27" s="208"/>
      <c r="X27" s="208"/>
      <c r="Y27" s="208"/>
      <c r="Z27" s="208"/>
      <c r="AA27" s="208"/>
      <c r="AB27" s="208"/>
      <c r="AC27" s="221"/>
      <c r="AD27" s="221"/>
      <c r="AE27" s="208"/>
      <c r="AF27" s="20"/>
      <c r="AG27" s="208"/>
      <c r="AH27" s="208"/>
      <c r="AI27" s="208"/>
      <c r="AJ27" s="208"/>
      <c r="AK27" s="208"/>
      <c r="AL27" s="208"/>
      <c r="AM27" s="208"/>
      <c r="AN27" s="208"/>
      <c r="AO27" s="278"/>
      <c r="AP27" s="279"/>
      <c r="AQ27" s="265"/>
      <c r="AR27" s="280"/>
      <c r="AS27" s="280"/>
      <c r="AT27" s="265"/>
      <c r="AU27" s="281"/>
      <c r="AV27" s="282"/>
      <c r="AW27" s="265"/>
      <c r="AX27" s="280"/>
      <c r="AY27" s="265"/>
      <c r="AZ27" s="280"/>
      <c r="BA27" s="280"/>
      <c r="BB27" s="280"/>
      <c r="BC27" s="280"/>
      <c r="BD27" s="214"/>
      <c r="BE27" s="20"/>
    </row>
    <row r="28" spans="1:57" ht="18" customHeight="1" thickBot="1" x14ac:dyDescent="0.25">
      <c r="A28" s="214"/>
      <c r="B28" s="223">
        <v>1</v>
      </c>
      <c r="C28" s="43" t="s">
        <v>281</v>
      </c>
      <c r="D28" s="673" t="s">
        <v>282</v>
      </c>
      <c r="E28" s="1">
        <v>5</v>
      </c>
      <c r="F28" s="151" t="str">
        <f>IF(ISNUMBER(E28),"","Err")</f>
        <v/>
      </c>
      <c r="G28" s="654"/>
      <c r="H28" s="214"/>
      <c r="I28" s="214"/>
      <c r="J28" s="214"/>
      <c r="K28" s="214"/>
      <c r="L28" s="214"/>
      <c r="M28" s="214"/>
      <c r="N28" s="214"/>
      <c r="O28" s="30"/>
      <c r="P28" s="30"/>
      <c r="Q28" s="30"/>
      <c r="R28" s="30"/>
      <c r="S28" s="30"/>
      <c r="T28" s="30"/>
      <c r="U28" s="654"/>
      <c r="V28" s="208"/>
      <c r="W28" s="30" t="s">
        <v>387</v>
      </c>
      <c r="X28" s="208"/>
      <c r="Y28" s="208"/>
      <c r="Z28" s="208"/>
      <c r="AA28" s="208"/>
      <c r="AB28" s="208"/>
      <c r="AC28" s="208"/>
      <c r="AD28" s="208"/>
      <c r="AE28" s="208"/>
      <c r="AF28" s="20"/>
      <c r="AG28" s="208"/>
      <c r="AH28" s="208"/>
      <c r="AI28" s="208"/>
      <c r="AJ28" s="208"/>
      <c r="AK28" s="208"/>
      <c r="AL28" s="208"/>
      <c r="AM28" s="208"/>
      <c r="AN28" s="208"/>
      <c r="AO28" s="278"/>
      <c r="AP28" s="671" t="s">
        <v>524</v>
      </c>
      <c r="AQ28" s="265"/>
      <c r="AR28" s="280"/>
      <c r="AS28" s="280"/>
      <c r="AT28" s="265"/>
      <c r="AU28" s="281"/>
      <c r="AV28" s="282"/>
      <c r="AW28" s="265"/>
      <c r="AX28" s="280"/>
      <c r="AY28" s="265"/>
      <c r="AZ28" s="280"/>
      <c r="BA28" s="280"/>
      <c r="BB28" s="280"/>
      <c r="BC28" s="280"/>
      <c r="BD28" s="214"/>
      <c r="BE28" s="20"/>
    </row>
    <row r="29" spans="1:57" ht="17.25" customHeight="1" thickBot="1" x14ac:dyDescent="0.25">
      <c r="A29" s="214"/>
      <c r="B29" s="30"/>
      <c r="C29" s="30"/>
      <c r="D29" s="30"/>
      <c r="E29" s="30"/>
      <c r="F29" s="653"/>
      <c r="G29" s="654"/>
      <c r="H29" s="214"/>
      <c r="I29" s="316" t="s">
        <v>30</v>
      </c>
      <c r="J29" s="778" t="s">
        <v>414</v>
      </c>
      <c r="K29" s="779"/>
      <c r="L29" s="780"/>
      <c r="M29" s="778" t="s">
        <v>31</v>
      </c>
      <c r="N29" s="780"/>
      <c r="O29" s="254" t="s">
        <v>32</v>
      </c>
      <c r="P29" s="330"/>
      <c r="Q29" s="778" t="s">
        <v>43</v>
      </c>
      <c r="R29" s="779"/>
      <c r="S29" s="780"/>
      <c r="T29" s="30"/>
      <c r="U29" s="654"/>
      <c r="V29" s="208"/>
      <c r="W29" s="208"/>
      <c r="X29" s="208"/>
      <c r="Y29" s="208"/>
      <c r="Z29" s="208"/>
      <c r="AA29" s="208"/>
      <c r="AB29" s="208"/>
      <c r="AC29" s="208"/>
      <c r="AD29" s="208"/>
      <c r="AE29" s="208"/>
      <c r="AF29" s="20"/>
      <c r="AG29" s="208"/>
      <c r="AH29" s="208"/>
      <c r="AI29" s="208"/>
      <c r="AJ29" s="208"/>
      <c r="AK29" s="208"/>
      <c r="AL29" s="208"/>
      <c r="AM29" s="208"/>
      <c r="AN29" s="208"/>
      <c r="AO29" s="278"/>
      <c r="AP29" s="279"/>
      <c r="AQ29" s="265"/>
      <c r="AR29" s="280"/>
      <c r="AS29" s="280"/>
      <c r="AT29" s="265"/>
      <c r="AU29" s="281"/>
      <c r="AV29" s="282"/>
      <c r="AW29" s="265"/>
      <c r="AX29" s="280"/>
      <c r="AY29" s="265"/>
      <c r="AZ29" s="280"/>
      <c r="BA29" s="280"/>
      <c r="BB29" s="280"/>
      <c r="BC29" s="280"/>
      <c r="BD29" s="214"/>
      <c r="BE29" s="20"/>
    </row>
    <row r="30" spans="1:57" ht="18" customHeight="1" thickBot="1" x14ac:dyDescent="0.25">
      <c r="A30" s="257"/>
      <c r="B30" s="657">
        <v>2</v>
      </c>
      <c r="C30" s="658" t="s">
        <v>529</v>
      </c>
      <c r="D30" s="659" t="s">
        <v>531</v>
      </c>
      <c r="E30" s="260">
        <v>0.1</v>
      </c>
      <c r="F30" s="656" t="str">
        <f>IF(ISNUMBER(E30),IF(AND(E30&gt;0,E30&lt;1,E30&lt;E31),"","Err"),"Err")</f>
        <v/>
      </c>
      <c r="G30" s="654"/>
      <c r="H30" s="214"/>
      <c r="I30" s="26"/>
      <c r="J30" s="255"/>
      <c r="K30" s="256"/>
      <c r="L30" s="257"/>
      <c r="M30" s="258"/>
      <c r="N30" s="258"/>
      <c r="O30" s="259"/>
      <c r="P30" s="259"/>
      <c r="Q30" s="466"/>
      <c r="R30" s="466"/>
      <c r="S30" s="466"/>
      <c r="T30" s="653"/>
      <c r="U30" s="644"/>
      <c r="V30" s="208"/>
      <c r="W30" s="230" t="s">
        <v>382</v>
      </c>
      <c r="X30" s="231">
        <v>0</v>
      </c>
      <c r="Y30" s="231">
        <f>E44</f>
        <v>11.25</v>
      </c>
      <c r="Z30" s="231">
        <f>E21</f>
        <v>15</v>
      </c>
      <c r="AA30" s="231">
        <f>E21</f>
        <v>15</v>
      </c>
      <c r="AB30" s="231"/>
      <c r="AC30" s="208"/>
      <c r="AD30" s="208"/>
      <c r="AE30" s="208"/>
      <c r="AF30" s="20"/>
      <c r="AG30" s="208"/>
      <c r="AH30" s="208"/>
      <c r="AI30" s="208"/>
      <c r="AJ30" s="208"/>
      <c r="AK30" s="208"/>
      <c r="AL30" s="208"/>
      <c r="AM30" s="208"/>
      <c r="AN30" s="208"/>
      <c r="AO30" s="278"/>
      <c r="AP30" s="665" t="s">
        <v>341</v>
      </c>
      <c r="AQ30" s="666"/>
      <c r="AR30" s="786" t="s">
        <v>342</v>
      </c>
      <c r="AS30" s="787"/>
      <c r="AT30" s="787"/>
      <c r="AU30" s="787"/>
      <c r="AV30" s="787"/>
      <c r="AW30" s="787"/>
      <c r="AX30" s="787"/>
      <c r="AY30" s="787"/>
      <c r="AZ30" s="788"/>
      <c r="BA30" s="303"/>
      <c r="BB30" s="303"/>
      <c r="BC30" s="280"/>
      <c r="BD30" s="214"/>
      <c r="BE30" s="20"/>
    </row>
    <row r="31" spans="1:57" ht="18" customHeight="1" x14ac:dyDescent="0.2">
      <c r="A31" s="257"/>
      <c r="B31" s="657">
        <v>3</v>
      </c>
      <c r="C31" s="658" t="s">
        <v>530</v>
      </c>
      <c r="D31" s="659" t="s">
        <v>532</v>
      </c>
      <c r="E31" s="263">
        <v>0.9</v>
      </c>
      <c r="F31" s="656" t="str">
        <f>IF(ISNUMBER(E31),IF(AND(E30&lt;E31,E31&lt;10),"","Err"),"Err")</f>
        <v/>
      </c>
      <c r="G31" s="654"/>
      <c r="H31" s="214"/>
      <c r="I31" s="288" t="s">
        <v>360</v>
      </c>
      <c r="J31" s="284"/>
      <c r="K31" s="276"/>
      <c r="L31" s="285"/>
      <c r="M31" s="286"/>
      <c r="N31" s="286"/>
      <c r="O31" s="276"/>
      <c r="P31" s="277"/>
      <c r="Q31" s="467" t="s">
        <v>354</v>
      </c>
      <c r="R31" s="468" t="s">
        <v>355</v>
      </c>
      <c r="S31" s="469" t="s">
        <v>356</v>
      </c>
      <c r="T31" s="653"/>
      <c r="U31" s="644"/>
      <c r="V31" s="208"/>
      <c r="W31" s="238" t="s">
        <v>381</v>
      </c>
      <c r="X31" s="239">
        <f>E19</f>
        <v>0.5</v>
      </c>
      <c r="Y31" s="239">
        <f>E19</f>
        <v>0.5</v>
      </c>
      <c r="Z31" s="239">
        <f>E20*(Z30-1.25*E28)</f>
        <v>0.875</v>
      </c>
      <c r="AA31" s="239">
        <f>Z31*1.3</f>
        <v>1.1375</v>
      </c>
      <c r="AB31" s="239"/>
      <c r="AC31" s="208"/>
      <c r="AD31" s="208"/>
      <c r="AE31" s="208"/>
      <c r="AF31" s="20"/>
      <c r="AG31" s="208"/>
      <c r="AH31" s="208"/>
      <c r="AI31" s="208"/>
      <c r="AJ31" s="208"/>
      <c r="AK31" s="208"/>
      <c r="AL31" s="208"/>
      <c r="AM31" s="208"/>
      <c r="AN31" s="208"/>
      <c r="AO31" s="214"/>
      <c r="AP31" s="791" t="s">
        <v>343</v>
      </c>
      <c r="AQ31" s="791"/>
      <c r="AR31" s="667">
        <f>AR18</f>
        <v>0</v>
      </c>
      <c r="AS31" s="667">
        <f>AR19</f>
        <v>1.1000000000000001</v>
      </c>
      <c r="AT31" s="667">
        <f>AR20</f>
        <v>5.6</v>
      </c>
      <c r="AU31" s="667">
        <f>AR21</f>
        <v>10.1</v>
      </c>
      <c r="AV31" s="667">
        <f>AR22</f>
        <v>11.25</v>
      </c>
      <c r="AW31" s="667">
        <f>AR23</f>
        <v>12</v>
      </c>
      <c r="AX31" s="667">
        <f>AR24</f>
        <v>13.2</v>
      </c>
      <c r="AY31" s="667">
        <f>AR25</f>
        <v>14.7</v>
      </c>
      <c r="AZ31" s="667">
        <f>AR26</f>
        <v>15.4</v>
      </c>
      <c r="BA31" s="298"/>
      <c r="BB31" s="298"/>
      <c r="BC31" s="280"/>
      <c r="BD31" s="214"/>
      <c r="BE31" s="20"/>
    </row>
    <row r="32" spans="1:57" ht="16.5" customHeight="1" x14ac:dyDescent="0.2">
      <c r="A32" s="214"/>
      <c r="B32" s="271"/>
      <c r="C32" s="272"/>
      <c r="D32" s="273"/>
      <c r="E32" s="274"/>
      <c r="F32" s="653"/>
      <c r="G32" s="654"/>
      <c r="H32" s="214"/>
      <c r="I32" s="262"/>
      <c r="J32" s="284"/>
      <c r="K32" s="276"/>
      <c r="L32" s="285"/>
      <c r="M32" s="286"/>
      <c r="N32" s="286"/>
      <c r="O32" s="276"/>
      <c r="P32" s="277"/>
      <c r="Q32" s="303"/>
      <c r="R32" s="303"/>
      <c r="S32" s="303"/>
      <c r="T32" s="653"/>
      <c r="U32" s="654"/>
      <c r="V32" s="208"/>
      <c r="W32" s="221"/>
      <c r="X32" s="221"/>
      <c r="Y32" s="221"/>
      <c r="Z32" s="221"/>
      <c r="AA32" s="221"/>
      <c r="AB32" s="221"/>
      <c r="AC32" s="208"/>
      <c r="AD32" s="208"/>
      <c r="AE32" s="208"/>
      <c r="AF32" s="20"/>
      <c r="AG32" s="208"/>
      <c r="AH32" s="208"/>
      <c r="AI32" s="208"/>
      <c r="AJ32" s="208"/>
      <c r="AK32" s="208"/>
      <c r="AL32" s="208"/>
      <c r="AM32" s="208"/>
      <c r="AN32" s="208"/>
      <c r="AO32" s="214"/>
      <c r="AP32" s="784" t="s">
        <v>340</v>
      </c>
      <c r="AQ32" s="784"/>
      <c r="AR32" s="668">
        <f>AS18</f>
        <v>0.5</v>
      </c>
      <c r="AS32" s="668">
        <f>AS19</f>
        <v>0.5</v>
      </c>
      <c r="AT32" s="668">
        <f>AS20</f>
        <v>0.5</v>
      </c>
      <c r="AU32" s="668">
        <f>AS21</f>
        <v>0.5</v>
      </c>
      <c r="AV32" s="668">
        <f>AS22</f>
        <v>0.5</v>
      </c>
      <c r="AW32" s="668">
        <f>AS23</f>
        <v>0.57500000000000007</v>
      </c>
      <c r="AX32" s="668">
        <f>AS24</f>
        <v>0.69499999999999995</v>
      </c>
      <c r="AY32" s="668">
        <f>AS25</f>
        <v>0.84499999999999997</v>
      </c>
      <c r="AZ32" s="668">
        <f>AS26</f>
        <v>0.91500000000000004</v>
      </c>
      <c r="BA32" s="298"/>
      <c r="BB32" s="298"/>
      <c r="BC32" s="280"/>
      <c r="BD32" s="214"/>
      <c r="BE32" s="20"/>
    </row>
    <row r="33" spans="1:57" ht="15" customHeight="1" thickBot="1" x14ac:dyDescent="0.25">
      <c r="A33" s="214"/>
      <c r="B33" s="271">
        <v>4</v>
      </c>
      <c r="C33" s="658" t="s">
        <v>533</v>
      </c>
      <c r="D33" s="659" t="s">
        <v>525</v>
      </c>
      <c r="E33" s="674">
        <f>X35</f>
        <v>2</v>
      </c>
      <c r="F33" s="656" t="str">
        <f>IF(ISNUMBER(E33),"","Err")</f>
        <v/>
      </c>
      <c r="G33" s="654"/>
      <c r="H33" s="214"/>
      <c r="I33" s="291" t="s">
        <v>389</v>
      </c>
      <c r="J33" s="284"/>
      <c r="K33" s="327" t="s">
        <v>370</v>
      </c>
      <c r="L33" s="322">
        <f>ROUNDDOWN(E18*0.9/SQRT(3),1)</f>
        <v>3.1</v>
      </c>
      <c r="M33" s="317" t="s">
        <v>395</v>
      </c>
      <c r="N33" s="317"/>
      <c r="O33" s="320">
        <f>E18/SQRT(3)</f>
        <v>3.4641016151377548</v>
      </c>
      <c r="P33" s="277"/>
      <c r="Q33" s="3">
        <v>0</v>
      </c>
      <c r="R33" s="302">
        <v>0</v>
      </c>
      <c r="S33" s="3">
        <v>0</v>
      </c>
      <c r="T33" s="151" t="str">
        <f>IF(AND(ISNUMBER(Q33),ISNUMBER(R33),ISNUMBER(S33)),"","Err")</f>
        <v/>
      </c>
      <c r="U33" s="654"/>
      <c r="V33" s="208"/>
      <c r="W33" s="252" t="s">
        <v>112</v>
      </c>
      <c r="X33" s="208"/>
      <c r="Y33" s="208"/>
      <c r="Z33" s="208"/>
      <c r="AA33" s="208"/>
      <c r="AB33" s="208"/>
      <c r="AC33" s="208"/>
      <c r="AD33" s="208"/>
      <c r="AE33" s="208"/>
      <c r="AF33" s="20"/>
      <c r="AG33" s="208"/>
      <c r="AH33" s="208"/>
      <c r="AI33" s="208"/>
      <c r="AJ33" s="208"/>
      <c r="AK33" s="208"/>
      <c r="AL33" s="208"/>
      <c r="AM33" s="208"/>
      <c r="AN33" s="208"/>
      <c r="AO33" s="214"/>
      <c r="AP33" s="784" t="s">
        <v>344</v>
      </c>
      <c r="AQ33" s="784"/>
      <c r="AR33" s="668">
        <f>BC18</f>
        <v>0.5</v>
      </c>
      <c r="AS33" s="668">
        <f>BC19</f>
        <v>0.5</v>
      </c>
      <c r="AT33" s="668">
        <f>BC20</f>
        <v>0.5</v>
      </c>
      <c r="AU33" s="668">
        <f>BC21</f>
        <v>0.5</v>
      </c>
      <c r="AV33" s="668">
        <f>BC22</f>
        <v>0.5</v>
      </c>
      <c r="AW33" s="668">
        <f>BC23</f>
        <v>0.57500000000000007</v>
      </c>
      <c r="AX33" s="668">
        <f>BC24</f>
        <v>0.69499999999999995</v>
      </c>
      <c r="AY33" s="668">
        <f>BC25</f>
        <v>0.84499999999999997</v>
      </c>
      <c r="AZ33" s="668" t="str">
        <f>BC26</f>
        <v>Не. сраб.</v>
      </c>
      <c r="BA33" s="280"/>
      <c r="BB33" s="280"/>
      <c r="BC33" s="280"/>
      <c r="BD33" s="214"/>
      <c r="BE33" s="20"/>
    </row>
    <row r="34" spans="1:57" ht="15" customHeight="1" thickBot="1" x14ac:dyDescent="0.25">
      <c r="A34" s="214"/>
      <c r="B34" s="271">
        <v>5</v>
      </c>
      <c r="C34" s="658" t="s">
        <v>534</v>
      </c>
      <c r="D34" s="659" t="s">
        <v>526</v>
      </c>
      <c r="E34" s="674">
        <f>Y35</f>
        <v>10</v>
      </c>
      <c r="F34" s="656" t="str">
        <f>IF(ISNUMBER(E34),"","Err")</f>
        <v/>
      </c>
      <c r="G34" s="654"/>
      <c r="H34" s="214"/>
      <c r="I34" s="292" t="s">
        <v>390</v>
      </c>
      <c r="J34" s="284"/>
      <c r="K34" s="328" t="s">
        <v>370</v>
      </c>
      <c r="L34" s="323">
        <f>ROUNDUP(E18*1.1/SQRT(3),1)</f>
        <v>3.9</v>
      </c>
      <c r="M34" s="318" t="s">
        <v>396</v>
      </c>
      <c r="N34" s="319"/>
      <c r="O34" s="321">
        <f>E18*0.9/SQRT(3)</f>
        <v>3.1176914536239795</v>
      </c>
      <c r="P34" s="277"/>
      <c r="Q34" s="3">
        <v>0</v>
      </c>
      <c r="R34" s="302">
        <v>0</v>
      </c>
      <c r="S34" s="3">
        <v>0</v>
      </c>
      <c r="T34" s="151" t="str">
        <f>IF(AND(ISNUMBER(Q34),ISNUMBER(R34),ISNUMBER(S34)),"","Err")</f>
        <v/>
      </c>
      <c r="U34" s="654"/>
      <c r="V34" s="208"/>
      <c r="W34" s="208"/>
      <c r="X34" s="253" t="s">
        <v>37</v>
      </c>
      <c r="Y34" s="253" t="s">
        <v>38</v>
      </c>
      <c r="Z34" s="253" t="s">
        <v>39</v>
      </c>
      <c r="AA34" s="253" t="s">
        <v>40</v>
      </c>
      <c r="AB34" s="208"/>
      <c r="AC34" s="208"/>
      <c r="AD34" s="208"/>
      <c r="AE34" s="208"/>
      <c r="AF34" s="20"/>
      <c r="AG34" s="208"/>
      <c r="AH34" s="208"/>
      <c r="AI34" s="208"/>
      <c r="AJ34" s="208"/>
      <c r="AK34" s="208"/>
      <c r="AL34" s="208"/>
      <c r="AM34" s="208"/>
      <c r="AN34" s="208"/>
      <c r="AO34" s="214"/>
      <c r="AP34" s="784" t="s">
        <v>345</v>
      </c>
      <c r="AQ34" s="784"/>
      <c r="AR34" s="668">
        <f t="shared" ref="AR34:AY34" si="8">(AR33-AR32)*100/AR32</f>
        <v>0</v>
      </c>
      <c r="AS34" s="668">
        <f t="shared" si="8"/>
        <v>0</v>
      </c>
      <c r="AT34" s="668">
        <f t="shared" si="8"/>
        <v>0</v>
      </c>
      <c r="AU34" s="668">
        <f t="shared" si="8"/>
        <v>0</v>
      </c>
      <c r="AV34" s="668">
        <f t="shared" si="8"/>
        <v>0</v>
      </c>
      <c r="AW34" s="668">
        <f t="shared" si="8"/>
        <v>0</v>
      </c>
      <c r="AX34" s="668">
        <f t="shared" si="8"/>
        <v>0</v>
      </c>
      <c r="AY34" s="668">
        <f t="shared" si="8"/>
        <v>0</v>
      </c>
      <c r="AZ34" s="668" t="str">
        <f>IF(ISNUMBER(AZ33),(AZ33-AZ32)*100/AZ32,AZ33)</f>
        <v>Не. сраб.</v>
      </c>
      <c r="BA34" s="280"/>
      <c r="BB34" s="280"/>
      <c r="BC34" s="280"/>
      <c r="BD34" s="214"/>
      <c r="BE34" s="20"/>
    </row>
    <row r="35" spans="1:57" ht="15" customHeight="1" x14ac:dyDescent="0.2">
      <c r="A35" s="214"/>
      <c r="B35" s="657">
        <v>6</v>
      </c>
      <c r="C35" s="658" t="s">
        <v>535</v>
      </c>
      <c r="D35" s="659" t="s">
        <v>527</v>
      </c>
      <c r="E35" s="674">
        <f>Z35</f>
        <v>12</v>
      </c>
      <c r="F35" s="656" t="str">
        <f>IF(ISNUMBER(E35),"","Err")</f>
        <v/>
      </c>
      <c r="G35" s="654"/>
      <c r="H35" s="214"/>
      <c r="I35" s="287"/>
      <c r="J35" s="284"/>
      <c r="K35" s="287"/>
      <c r="L35" s="287"/>
      <c r="M35" s="287"/>
      <c r="N35" s="287"/>
      <c r="O35" s="287"/>
      <c r="P35" s="287"/>
      <c r="Q35" s="287"/>
      <c r="R35" s="287"/>
      <c r="S35" s="287"/>
      <c r="T35" s="653"/>
      <c r="U35" s="644"/>
      <c r="V35" s="208"/>
      <c r="W35" s="230" t="s">
        <v>382</v>
      </c>
      <c r="X35" s="231">
        <f>ROUNDUP(E44*E30,0)</f>
        <v>2</v>
      </c>
      <c r="Y35" s="231">
        <f>ROUNDDOWN(E44*E31,0)</f>
        <v>10</v>
      </c>
      <c r="Z35" s="231">
        <f>ROUNDUP(E44+E30*(E21-E44),0)</f>
        <v>12</v>
      </c>
      <c r="AA35" s="231">
        <f>ROUNDDOWN(E44+E31*(E21-E44),0)</f>
        <v>14</v>
      </c>
      <c r="AB35" s="208"/>
      <c r="AC35" s="208"/>
      <c r="AD35" s="208"/>
      <c r="AE35" s="208"/>
      <c r="AF35" s="20"/>
      <c r="AG35" s="208"/>
      <c r="AH35" s="208"/>
      <c r="AI35" s="208"/>
      <c r="AJ35" s="208"/>
      <c r="AK35" s="208"/>
      <c r="AL35" s="208"/>
      <c r="AM35" s="208"/>
      <c r="AN35" s="208"/>
      <c r="AO35" s="214"/>
      <c r="AP35" s="784" t="s">
        <v>346</v>
      </c>
      <c r="AQ35" s="784"/>
      <c r="AR35" s="669" t="s">
        <v>56</v>
      </c>
      <c r="AS35" s="670" t="s">
        <v>56</v>
      </c>
      <c r="AT35" s="670" t="s">
        <v>56</v>
      </c>
      <c r="AU35" s="670" t="s">
        <v>56</v>
      </c>
      <c r="AV35" s="670" t="s">
        <v>56</v>
      </c>
      <c r="AW35" s="668">
        <f>(AW32-AV32)/(AW31-AV31)</f>
        <v>0.10000000000000009</v>
      </c>
      <c r="AX35" s="668">
        <f>(AX32-AW32)/(AX31-AW31)</f>
        <v>9.9999999999999964E-2</v>
      </c>
      <c r="AY35" s="668">
        <f>(AY32-AX32)/(AY31-AX31)</f>
        <v>0.10000000000000002</v>
      </c>
      <c r="AZ35" s="668" t="str">
        <f>IF(ISNUMBER(AZ33),(AZ32-AY32)/(AZ31-AY31),AZ33)</f>
        <v>Не. сраб.</v>
      </c>
      <c r="BA35" s="214"/>
      <c r="BB35" s="214"/>
      <c r="BC35" s="214"/>
      <c r="BD35" s="214"/>
      <c r="BE35" s="20"/>
    </row>
    <row r="36" spans="1:57" ht="15" customHeight="1" x14ac:dyDescent="0.2">
      <c r="A36" s="214"/>
      <c r="B36" s="657">
        <v>7</v>
      </c>
      <c r="C36" s="658" t="s">
        <v>536</v>
      </c>
      <c r="D36" s="659" t="s">
        <v>528</v>
      </c>
      <c r="E36" s="674">
        <f>AA35</f>
        <v>14</v>
      </c>
      <c r="F36" s="656" t="str">
        <f>IF(ISNUMBER(E36),"","Err")</f>
        <v/>
      </c>
      <c r="G36" s="654"/>
      <c r="H36" s="214"/>
      <c r="I36" s="411" t="s">
        <v>361</v>
      </c>
      <c r="J36" s="284"/>
      <c r="K36" s="287"/>
      <c r="L36" s="287"/>
      <c r="M36" s="287"/>
      <c r="N36" s="287"/>
      <c r="O36" s="287"/>
      <c r="P36" s="287"/>
      <c r="Q36" s="287"/>
      <c r="R36" s="287"/>
      <c r="S36" s="287"/>
      <c r="T36" s="653"/>
      <c r="U36" s="644"/>
      <c r="V36" s="208"/>
      <c r="W36" s="238" t="s">
        <v>381</v>
      </c>
      <c r="X36" s="239">
        <f>E19</f>
        <v>0.5</v>
      </c>
      <c r="Y36" s="239">
        <f>E19</f>
        <v>0.5</v>
      </c>
      <c r="Z36" s="239">
        <f>(E20*(Z35-1.25*E28))</f>
        <v>0.57500000000000007</v>
      </c>
      <c r="AA36" s="239">
        <f>(E20*(AA35-1.25*E28))</f>
        <v>0.77500000000000002</v>
      </c>
      <c r="AB36" s="208"/>
      <c r="AC36" s="208"/>
      <c r="AD36" s="208"/>
      <c r="AE36" s="208"/>
      <c r="AF36" s="20"/>
      <c r="AG36" s="208"/>
      <c r="AH36" s="208"/>
      <c r="AI36" s="208"/>
      <c r="AJ36" s="208"/>
      <c r="AK36" s="208"/>
      <c r="AL36" s="208"/>
      <c r="AM36" s="208"/>
      <c r="AN36" s="208"/>
      <c r="AO36" s="214"/>
      <c r="AP36" s="784" t="s">
        <v>347</v>
      </c>
      <c r="AQ36" s="784"/>
      <c r="AR36" s="669" t="s">
        <v>56</v>
      </c>
      <c r="AS36" s="670" t="s">
        <v>56</v>
      </c>
      <c r="AT36" s="670" t="s">
        <v>56</v>
      </c>
      <c r="AU36" s="670" t="s">
        <v>56</v>
      </c>
      <c r="AV36" s="670" t="s">
        <v>56</v>
      </c>
      <c r="AW36" s="668">
        <f>(AW35-E20)*100/E20</f>
        <v>8.3266726846886741E-14</v>
      </c>
      <c r="AX36" s="668">
        <f>(AX35-E20)*100/E20</f>
        <v>-4.163336342344337E-14</v>
      </c>
      <c r="AY36" s="668">
        <f>(AY35-E20)*100/E20</f>
        <v>1.3877787807814457E-14</v>
      </c>
      <c r="AZ36" s="668" t="str">
        <f>IF(ISNUMBER(AZ33),(AZ35-E20)*100/E20,AZ33)</f>
        <v>Не. сраб.</v>
      </c>
      <c r="BA36" s="214"/>
      <c r="BB36" s="214"/>
      <c r="BC36" s="214"/>
      <c r="BD36" s="214"/>
      <c r="BE36" s="20"/>
    </row>
    <row r="37" spans="1:57" ht="15" x14ac:dyDescent="0.2">
      <c r="A37" s="214"/>
      <c r="B37" s="271"/>
      <c r="C37" s="272"/>
      <c r="D37" s="273"/>
      <c r="E37" s="274"/>
      <c r="F37" s="653"/>
      <c r="G37" s="654"/>
      <c r="H37" s="214"/>
      <c r="I37" s="262"/>
      <c r="J37" s="284"/>
      <c r="K37" s="276"/>
      <c r="L37" s="285"/>
      <c r="M37" s="286"/>
      <c r="N37" s="286"/>
      <c r="O37" s="276"/>
      <c r="P37" s="277"/>
      <c r="Q37" s="303"/>
      <c r="R37" s="303"/>
      <c r="S37" s="303"/>
      <c r="T37" s="653"/>
      <c r="U37" s="654"/>
      <c r="V37" s="208"/>
      <c r="W37" s="208"/>
      <c r="X37" s="208"/>
      <c r="Y37" s="208"/>
      <c r="Z37" s="208"/>
      <c r="AA37" s="208"/>
      <c r="AB37" s="208"/>
      <c r="AC37" s="208"/>
      <c r="AD37" s="208"/>
      <c r="AE37" s="208"/>
      <c r="AF37" s="20"/>
      <c r="AG37" s="208"/>
      <c r="AH37" s="208"/>
      <c r="AI37" s="208"/>
      <c r="AJ37" s="208"/>
      <c r="AK37" s="208"/>
      <c r="AL37" s="208"/>
      <c r="AM37" s="208"/>
      <c r="AN37" s="208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0"/>
    </row>
    <row r="38" spans="1:57" ht="15" customHeight="1" thickBot="1" x14ac:dyDescent="0.25">
      <c r="A38" s="214"/>
      <c r="B38" s="672" t="s">
        <v>320</v>
      </c>
      <c r="C38" s="410" t="s">
        <v>412</v>
      </c>
      <c r="D38" s="409"/>
      <c r="E38" s="409"/>
      <c r="F38" s="653"/>
      <c r="G38" s="654"/>
      <c r="H38" s="214"/>
      <c r="I38" s="291" t="s">
        <v>389</v>
      </c>
      <c r="J38" s="284"/>
      <c r="K38" s="327" t="s">
        <v>371</v>
      </c>
      <c r="L38" s="322">
        <f>ROUNDDOWN(E19*0.9,1)</f>
        <v>0.4</v>
      </c>
      <c r="M38" s="317" t="s">
        <v>391</v>
      </c>
      <c r="N38" s="317"/>
      <c r="O38" s="322">
        <f>E19</f>
        <v>0.5</v>
      </c>
      <c r="P38" s="277"/>
      <c r="Q38" s="1">
        <v>0</v>
      </c>
      <c r="R38" s="11">
        <v>0</v>
      </c>
      <c r="S38" s="1">
        <v>0</v>
      </c>
      <c r="T38" s="151" t="str">
        <f>IF(AND(ISNUMBER(Q38),ISNUMBER(R38),ISNUMBER(S38)),"","Err")</f>
        <v/>
      </c>
      <c r="U38" s="654"/>
      <c r="V38" s="208"/>
      <c r="W38" s="208"/>
      <c r="X38" s="208"/>
      <c r="Y38" s="208"/>
      <c r="Z38" s="208"/>
      <c r="AA38" s="208"/>
      <c r="AB38" s="208"/>
      <c r="AC38" s="208"/>
      <c r="AD38" s="208"/>
      <c r="AE38" s="208"/>
      <c r="AF38" s="20"/>
      <c r="AG38" s="208"/>
      <c r="AH38" s="208"/>
      <c r="AI38" s="208"/>
      <c r="AJ38" s="208"/>
      <c r="AK38" s="208"/>
      <c r="AL38" s="208"/>
      <c r="AM38" s="208"/>
      <c r="AN38" s="208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30"/>
      <c r="BD38" s="214"/>
      <c r="BE38" s="20"/>
    </row>
    <row r="39" spans="1:57" ht="15" customHeight="1" thickBot="1" x14ac:dyDescent="0.3">
      <c r="A39" s="214"/>
      <c r="B39" s="275"/>
      <c r="C39" s="283" t="s">
        <v>352</v>
      </c>
      <c r="D39" s="30"/>
      <c r="E39" s="30"/>
      <c r="F39" s="653"/>
      <c r="G39" s="654"/>
      <c r="H39" s="214"/>
      <c r="I39" s="292" t="s">
        <v>390</v>
      </c>
      <c r="J39" s="284"/>
      <c r="K39" s="328" t="s">
        <v>371</v>
      </c>
      <c r="L39" s="323">
        <f>ROUNDUP(E19*1.1,1)</f>
        <v>0.6</v>
      </c>
      <c r="M39" s="318" t="s">
        <v>392</v>
      </c>
      <c r="N39" s="319"/>
      <c r="O39" s="323">
        <f>E19*0.9</f>
        <v>0.45</v>
      </c>
      <c r="P39" s="277"/>
      <c r="Q39" s="1">
        <v>0</v>
      </c>
      <c r="R39" s="11">
        <v>0</v>
      </c>
      <c r="S39" s="1">
        <v>0</v>
      </c>
      <c r="T39" s="151" t="str">
        <f>IF(AND(ISNUMBER(Q39),ISNUMBER(R39),ISNUMBER(S39)),"","Err")</f>
        <v/>
      </c>
      <c r="U39" s="654"/>
      <c r="V39" s="208"/>
      <c r="W39" s="660" t="s">
        <v>519</v>
      </c>
      <c r="X39" s="661"/>
      <c r="Y39" s="662">
        <f>IF(AND(0&lt;=AB22,AB22&lt;=E44),IF(AB23&gt;=E19,1,0),IF(AND(E44&lt;AB22,AB22&lt;E21),IF(AB23&gt;=E19+E20*(AB22-E44),1,0),0))</f>
        <v>1</v>
      </c>
      <c r="Z39" s="208"/>
      <c r="AA39" s="208"/>
      <c r="AB39" s="208"/>
      <c r="AC39" s="208"/>
      <c r="AD39" s="208"/>
      <c r="AE39" s="208"/>
      <c r="AF39" s="20"/>
      <c r="AG39" s="208"/>
      <c r="AH39" s="208"/>
      <c r="AI39" s="208"/>
      <c r="AJ39" s="208"/>
      <c r="AK39" s="208"/>
      <c r="AL39" s="208"/>
      <c r="AM39" s="208"/>
      <c r="AN39" s="208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30"/>
      <c r="BD39" s="214"/>
      <c r="BE39" s="20"/>
    </row>
    <row r="40" spans="1:57" ht="15" customHeight="1" x14ac:dyDescent="0.2">
      <c r="A40" s="214"/>
      <c r="B40" s="30"/>
      <c r="C40" s="283" t="s">
        <v>353</v>
      </c>
      <c r="D40" s="30"/>
      <c r="E40" s="30"/>
      <c r="F40" s="653"/>
      <c r="G40" s="654"/>
      <c r="H40" s="214"/>
      <c r="I40" s="74"/>
      <c r="J40" s="284"/>
      <c r="K40" s="276"/>
      <c r="L40" s="285"/>
      <c r="M40" s="286"/>
      <c r="N40" s="286"/>
      <c r="O40" s="276"/>
      <c r="P40" s="277"/>
      <c r="Q40" s="201"/>
      <c r="R40" s="201"/>
      <c r="S40" s="201"/>
      <c r="T40" s="30"/>
      <c r="U40" s="654"/>
      <c r="V40" s="208"/>
      <c r="W40" s="208"/>
      <c r="X40" s="208"/>
      <c r="Y40" s="208"/>
      <c r="Z40" s="208"/>
      <c r="AA40" s="208"/>
      <c r="AC40" s="208"/>
      <c r="AD40" s="208"/>
      <c r="AE40" s="208"/>
      <c r="AF40" s="20"/>
      <c r="AG40" s="208"/>
      <c r="AH40" s="208"/>
      <c r="AI40" s="208"/>
      <c r="AJ40" s="208"/>
      <c r="AK40" s="208"/>
      <c r="AL40" s="208"/>
      <c r="AM40" s="208"/>
      <c r="AN40" s="208"/>
      <c r="AO40" s="208"/>
      <c r="AP40" s="208"/>
      <c r="AQ40" s="208"/>
      <c r="AR40" s="30" t="s">
        <v>350</v>
      </c>
      <c r="AS40" s="30"/>
      <c r="AT40" s="214"/>
      <c r="AU40" s="208"/>
      <c r="AV40" s="208"/>
      <c r="AW40" s="208"/>
      <c r="AX40" s="208"/>
      <c r="AY40" s="208"/>
      <c r="AZ40" s="208"/>
      <c r="BA40" s="208"/>
      <c r="BB40" s="208"/>
      <c r="BC40" s="30"/>
      <c r="BD40" s="208"/>
      <c r="BE40" s="20"/>
    </row>
    <row r="41" spans="1:57" ht="15" customHeight="1" thickBot="1" x14ac:dyDescent="0.25">
      <c r="A41" s="214"/>
      <c r="B41" s="30"/>
      <c r="C41" s="283" t="s">
        <v>475</v>
      </c>
      <c r="D41" s="30"/>
      <c r="E41" s="30"/>
      <c r="F41" s="653"/>
      <c r="G41" s="654"/>
      <c r="H41" s="214"/>
      <c r="I41" s="291" t="s">
        <v>367</v>
      </c>
      <c r="J41" s="284"/>
      <c r="K41" s="327" t="s">
        <v>363</v>
      </c>
      <c r="L41" s="322">
        <f>X35</f>
        <v>2</v>
      </c>
      <c r="M41" s="317" t="str">
        <f>IF(L41&gt;=1.05*E19,"уменьшить","увеличить")&amp;" ток фазы"</f>
        <v>уменьшить ток фазы</v>
      </c>
      <c r="N41" s="317"/>
      <c r="O41" s="322">
        <f>ABS(X35-X36)</f>
        <v>1.5</v>
      </c>
      <c r="P41" s="277"/>
      <c r="Q41" s="1">
        <v>0</v>
      </c>
      <c r="R41" s="334" t="str">
        <f>IF(ISNUMBER(Q41),"","Err")</f>
        <v/>
      </c>
      <c r="S41" s="30"/>
      <c r="T41" s="30"/>
      <c r="U41" s="654"/>
      <c r="V41" s="208"/>
      <c r="W41" s="208"/>
      <c r="X41" s="208"/>
      <c r="Y41" s="208"/>
      <c r="Z41" s="208"/>
      <c r="AA41" s="208"/>
      <c r="AB41" s="208"/>
      <c r="AC41" s="208"/>
      <c r="AD41" s="208"/>
      <c r="AE41" s="208"/>
      <c r="AF41" s="20"/>
      <c r="AG41" s="208"/>
      <c r="AH41" s="208"/>
      <c r="AI41" s="208"/>
      <c r="AJ41" s="208"/>
      <c r="AK41" s="208"/>
      <c r="AL41" s="208"/>
      <c r="AM41" s="208"/>
      <c r="AN41" s="208"/>
      <c r="AO41" s="208"/>
      <c r="AP41" s="208"/>
      <c r="AQ41" s="208"/>
      <c r="AR41" s="216">
        <v>0</v>
      </c>
      <c r="AS41" s="216">
        <f>AI18</f>
        <v>0.5</v>
      </c>
      <c r="AT41" s="208"/>
      <c r="AU41" s="208"/>
      <c r="AV41" s="208"/>
      <c r="AW41" s="208"/>
      <c r="AX41" s="208"/>
      <c r="AY41" s="208"/>
      <c r="AZ41" s="208"/>
      <c r="BA41" s="208"/>
      <c r="BB41" s="208"/>
      <c r="BC41" s="30"/>
      <c r="BD41" s="208"/>
      <c r="BE41" s="20"/>
    </row>
    <row r="42" spans="1:57" ht="15" customHeight="1" thickBot="1" x14ac:dyDescent="0.25">
      <c r="A42" s="214"/>
      <c r="B42" s="30"/>
      <c r="C42" s="283" t="s">
        <v>386</v>
      </c>
      <c r="D42" s="30"/>
      <c r="E42" s="30"/>
      <c r="F42" s="653"/>
      <c r="G42" s="654"/>
      <c r="H42" s="214"/>
      <c r="I42" s="291" t="s">
        <v>366</v>
      </c>
      <c r="J42" s="284"/>
      <c r="K42" s="329" t="s">
        <v>363</v>
      </c>
      <c r="L42" s="324">
        <f>Y35</f>
        <v>10</v>
      </c>
      <c r="M42" s="317" t="str">
        <f>IF(L42&gt;=1.05*E19,"уменьшить","увеличить")&amp;" ток фазы"</f>
        <v>уменьшить ток фазы</v>
      </c>
      <c r="N42" s="317"/>
      <c r="O42" s="324">
        <f>ABS(Y35-Y36)</f>
        <v>9.5</v>
      </c>
      <c r="P42" s="277"/>
      <c r="Q42" s="1">
        <v>0</v>
      </c>
      <c r="R42" s="334" t="str">
        <f>IF(ISNUMBER(Q42),"","Err")</f>
        <v/>
      </c>
      <c r="S42" s="30"/>
      <c r="T42" s="30"/>
      <c r="U42" s="654"/>
      <c r="V42" s="208"/>
      <c r="W42" s="208"/>
      <c r="X42" s="208"/>
      <c r="Y42" s="208"/>
      <c r="Z42" s="208"/>
      <c r="AA42" s="208"/>
      <c r="AB42" s="208"/>
      <c r="AC42" s="208"/>
      <c r="AD42" s="208"/>
      <c r="AE42" s="208"/>
      <c r="AF42" s="20"/>
      <c r="AG42" s="208"/>
      <c r="AH42" s="208"/>
      <c r="AI42" s="208"/>
      <c r="AJ42" s="208"/>
      <c r="AK42" s="208"/>
      <c r="AL42" s="208"/>
      <c r="AM42" s="208"/>
      <c r="AN42" s="208"/>
      <c r="AO42" s="208"/>
      <c r="AP42" s="208"/>
      <c r="AQ42" s="208"/>
      <c r="AR42" s="216">
        <f>AM18</f>
        <v>11.25</v>
      </c>
      <c r="AS42" s="216">
        <f>AI18</f>
        <v>0.5</v>
      </c>
      <c r="AT42" s="208"/>
      <c r="AU42" s="208"/>
      <c r="AV42" s="208"/>
      <c r="AW42" s="208"/>
      <c r="AX42" s="208"/>
      <c r="AY42" s="208"/>
      <c r="AZ42" s="208"/>
      <c r="BA42" s="208"/>
      <c r="BB42" s="208"/>
      <c r="BC42" s="30"/>
      <c r="BD42" s="208"/>
      <c r="BE42" s="20"/>
    </row>
    <row r="43" spans="1:57" ht="15" customHeight="1" thickBot="1" x14ac:dyDescent="0.25">
      <c r="A43" s="214"/>
      <c r="B43" s="214"/>
      <c r="C43" s="214"/>
      <c r="D43" s="214"/>
      <c r="E43" s="214"/>
      <c r="F43" s="653"/>
      <c r="G43" s="654"/>
      <c r="H43" s="214"/>
      <c r="I43" s="291" t="s">
        <v>364</v>
      </c>
      <c r="J43" s="284"/>
      <c r="K43" s="329" t="s">
        <v>363</v>
      </c>
      <c r="L43" s="324">
        <f>Z35</f>
        <v>12</v>
      </c>
      <c r="M43" s="318" t="str">
        <f>IF(L43&gt;=1.05*E19,"уменьшить","увеличить")&amp;" ток фазы"</f>
        <v>уменьшить ток фазы</v>
      </c>
      <c r="N43" s="319"/>
      <c r="O43" s="324">
        <f>ABS(Z35-Z36)</f>
        <v>11.425000000000001</v>
      </c>
      <c r="P43" s="277"/>
      <c r="Q43" s="1">
        <v>0</v>
      </c>
      <c r="R43" s="334" t="str">
        <f>IF(ISNUMBER(Q43),"","Err")</f>
        <v/>
      </c>
      <c r="S43" s="30"/>
      <c r="T43" s="30"/>
      <c r="U43" s="654"/>
      <c r="V43" s="208"/>
      <c r="W43" s="208"/>
      <c r="X43" s="208"/>
      <c r="Y43" s="208"/>
      <c r="Z43" s="208"/>
      <c r="AA43" s="208"/>
      <c r="AB43" s="208"/>
      <c r="AC43" s="208"/>
      <c r="AD43" s="208"/>
      <c r="AE43" s="208"/>
      <c r="AF43" s="20"/>
      <c r="AG43" s="208"/>
      <c r="AH43" s="208"/>
      <c r="AI43" s="208"/>
      <c r="AJ43" s="208"/>
      <c r="AK43" s="208"/>
      <c r="AL43" s="208"/>
      <c r="AM43" s="208"/>
      <c r="AN43" s="208"/>
      <c r="AO43" s="208"/>
      <c r="AP43" s="208"/>
      <c r="AQ43" s="208"/>
      <c r="AR43" s="216">
        <f>AK18</f>
        <v>15</v>
      </c>
      <c r="AS43" s="216">
        <f>AJ18*(AK18-1.25*AL18)</f>
        <v>0.875</v>
      </c>
      <c r="AT43" s="208"/>
      <c r="AU43" s="208"/>
      <c r="AV43" s="208"/>
      <c r="AW43" s="208"/>
      <c r="AX43" s="208"/>
      <c r="AY43" s="208"/>
      <c r="AZ43" s="208"/>
      <c r="BA43" s="208"/>
      <c r="BB43" s="208"/>
      <c r="BC43" s="30"/>
      <c r="BD43" s="208"/>
      <c r="BE43" s="20"/>
    </row>
    <row r="44" spans="1:57" ht="15" customHeight="1" thickBot="1" x14ac:dyDescent="0.25">
      <c r="A44" s="214"/>
      <c r="B44" s="223">
        <v>8</v>
      </c>
      <c r="C44" s="268" t="s">
        <v>539</v>
      </c>
      <c r="D44" s="659" t="s">
        <v>538</v>
      </c>
      <c r="E44" s="201">
        <f>(E19/E20)+1.25*E28</f>
        <v>11.25</v>
      </c>
      <c r="F44" s="653"/>
      <c r="G44" s="654"/>
      <c r="H44" s="214"/>
      <c r="I44" s="292" t="s">
        <v>365</v>
      </c>
      <c r="J44" s="284"/>
      <c r="K44" s="328" t="s">
        <v>363</v>
      </c>
      <c r="L44" s="323">
        <f>AA35</f>
        <v>14</v>
      </c>
      <c r="M44" s="318" t="str">
        <f>IF(L44&gt;=1.05*E19,"уменьшить","увеличить")&amp;" ток фазы"</f>
        <v>уменьшить ток фазы</v>
      </c>
      <c r="N44" s="319"/>
      <c r="O44" s="323">
        <f>ABS(AA35-AA36)</f>
        <v>13.225</v>
      </c>
      <c r="P44" s="277"/>
      <c r="Q44" s="1">
        <v>0</v>
      </c>
      <c r="R44" s="334" t="str">
        <f>IF(ISNUMBER(Q44),"","Err")</f>
        <v/>
      </c>
      <c r="S44" s="30"/>
      <c r="T44" s="30"/>
      <c r="U44" s="654"/>
      <c r="V44" s="208"/>
      <c r="W44" s="208"/>
      <c r="X44" s="208"/>
      <c r="Y44" s="208"/>
      <c r="Z44" s="208"/>
      <c r="AA44" s="208"/>
      <c r="AB44" s="208"/>
      <c r="AC44" s="208"/>
      <c r="AD44" s="208"/>
      <c r="AE44" s="208"/>
      <c r="AF44" s="20"/>
      <c r="AG44" s="208"/>
      <c r="AH44" s="208"/>
      <c r="AI44" s="208"/>
      <c r="AJ44" s="208"/>
      <c r="AK44" s="208"/>
      <c r="AL44" s="208"/>
      <c r="AM44" s="208"/>
      <c r="AN44" s="208"/>
      <c r="AO44" s="208"/>
      <c r="AP44" s="208"/>
      <c r="AQ44" s="208"/>
      <c r="AR44" s="216">
        <f>AK18</f>
        <v>15</v>
      </c>
      <c r="AS44" s="216">
        <f>AS43*1.3</f>
        <v>1.1375</v>
      </c>
      <c r="AT44" s="208"/>
      <c r="AU44" s="208"/>
      <c r="AV44" s="208"/>
      <c r="AW44" s="208"/>
      <c r="AX44" s="208"/>
      <c r="AY44" s="208"/>
      <c r="AZ44" s="208"/>
      <c r="BA44" s="208"/>
      <c r="BB44" s="208"/>
      <c r="BC44" s="30"/>
      <c r="BD44" s="208"/>
      <c r="BE44" s="20"/>
    </row>
    <row r="45" spans="1:57" ht="15" customHeight="1" thickBot="1" x14ac:dyDescent="0.25">
      <c r="A45" s="214"/>
      <c r="B45" s="41"/>
      <c r="C45" s="41"/>
      <c r="D45" s="41"/>
      <c r="E45" s="41"/>
      <c r="F45" s="653"/>
      <c r="G45" s="654"/>
      <c r="H45" s="214"/>
      <c r="I45" s="214"/>
      <c r="J45" s="284"/>
      <c r="K45" s="214"/>
      <c r="L45" s="214"/>
      <c r="M45" s="214"/>
      <c r="N45" s="214"/>
      <c r="O45" s="214"/>
      <c r="P45" s="214"/>
      <c r="Q45" s="214"/>
      <c r="R45" s="214"/>
      <c r="S45" s="214"/>
      <c r="T45" s="30"/>
      <c r="U45" s="654"/>
      <c r="V45" s="208"/>
      <c r="W45" s="208"/>
      <c r="X45" s="208"/>
      <c r="Y45" s="208"/>
      <c r="Z45" s="208"/>
      <c r="AA45" s="208"/>
      <c r="AB45" s="208"/>
      <c r="AC45" s="208"/>
      <c r="AD45" s="208"/>
      <c r="AE45" s="208"/>
      <c r="AF45" s="20"/>
      <c r="AG45" s="208"/>
      <c r="AH45" s="208"/>
      <c r="AI45" s="208"/>
      <c r="AJ45" s="208"/>
      <c r="AK45" s="208"/>
      <c r="AL45" s="208"/>
      <c r="AM45" s="208"/>
      <c r="AN45" s="208"/>
      <c r="AO45" s="208"/>
      <c r="AP45" s="208"/>
      <c r="AQ45" s="208"/>
      <c r="AR45" s="208"/>
      <c r="AS45" s="208"/>
      <c r="AT45" s="208"/>
      <c r="AU45" s="208"/>
      <c r="AV45" s="208"/>
      <c r="AW45" s="208"/>
      <c r="AX45" s="208"/>
      <c r="AY45" s="208"/>
      <c r="AZ45" s="208"/>
      <c r="BA45" s="208"/>
      <c r="BB45" s="208"/>
      <c r="BC45" s="30"/>
      <c r="BD45" s="208"/>
      <c r="BE45" s="20"/>
    </row>
    <row r="46" spans="1:57" ht="15" customHeight="1" x14ac:dyDescent="0.2">
      <c r="A46" s="214"/>
      <c r="B46" s="214"/>
      <c r="C46" s="214"/>
      <c r="D46" s="214"/>
      <c r="E46" s="214"/>
      <c r="F46" s="653"/>
      <c r="G46" s="654"/>
      <c r="H46" s="214"/>
      <c r="I46" s="411" t="s">
        <v>362</v>
      </c>
      <c r="J46" s="284"/>
      <c r="K46" s="214"/>
      <c r="L46" s="214"/>
      <c r="M46" s="214"/>
      <c r="N46" s="214"/>
      <c r="O46" s="214"/>
      <c r="P46" s="214"/>
      <c r="Q46" s="214"/>
      <c r="R46" s="214"/>
      <c r="S46" s="214"/>
      <c r="T46" s="30"/>
      <c r="U46" s="654"/>
      <c r="V46" s="208"/>
      <c r="W46" s="208"/>
      <c r="X46" s="208"/>
      <c r="Y46" s="208"/>
      <c r="Z46" s="208"/>
      <c r="AA46" s="208"/>
      <c r="AB46" s="208"/>
      <c r="AC46" s="208"/>
      <c r="AD46" s="208"/>
      <c r="AE46" s="208"/>
      <c r="AF46" s="20"/>
      <c r="AG46" s="208"/>
      <c r="AH46" s="208"/>
      <c r="AI46" s="208"/>
      <c r="AJ46" s="208"/>
      <c r="AK46" s="208"/>
      <c r="AL46" s="208"/>
      <c r="AM46" s="208"/>
      <c r="AN46" s="208"/>
      <c r="AO46" s="208"/>
      <c r="AP46" s="208"/>
      <c r="AQ46" s="208"/>
      <c r="AR46" s="208"/>
      <c r="AS46" s="208"/>
      <c r="AT46" s="208"/>
      <c r="AU46" s="208"/>
      <c r="AV46" s="208"/>
      <c r="AW46" s="208"/>
      <c r="AX46" s="208"/>
      <c r="AY46" s="208"/>
      <c r="AZ46" s="208"/>
      <c r="BA46" s="208"/>
      <c r="BB46" s="208"/>
      <c r="BC46" s="30"/>
      <c r="BD46" s="208"/>
      <c r="BE46" s="20"/>
    </row>
    <row r="47" spans="1:57" ht="15" customHeight="1" x14ac:dyDescent="0.2">
      <c r="A47" s="30"/>
      <c r="B47" s="30"/>
      <c r="C47" s="30"/>
      <c r="D47" s="30"/>
      <c r="E47" s="30"/>
      <c r="F47" s="30"/>
      <c r="G47" s="269"/>
      <c r="H47" s="214"/>
      <c r="I47" s="214"/>
      <c r="J47" s="284"/>
      <c r="K47" s="214"/>
      <c r="L47" s="214"/>
      <c r="M47" s="214"/>
      <c r="N47" s="214"/>
      <c r="O47" s="214"/>
      <c r="P47" s="214"/>
      <c r="Q47" s="214"/>
      <c r="R47" s="214"/>
      <c r="S47" s="214"/>
      <c r="T47" s="30"/>
      <c r="U47" s="654"/>
      <c r="V47" s="208"/>
      <c r="W47" s="208"/>
      <c r="X47" s="208"/>
      <c r="Y47" s="208"/>
      <c r="Z47" s="208"/>
      <c r="AA47" s="208"/>
      <c r="AB47" s="208"/>
      <c r="AC47" s="208"/>
      <c r="AD47" s="208"/>
      <c r="AE47" s="208"/>
      <c r="AF47" s="20"/>
      <c r="AG47" s="208"/>
      <c r="AH47" s="208"/>
      <c r="AI47" s="208"/>
      <c r="AJ47" s="208"/>
      <c r="AK47" s="208"/>
      <c r="AL47" s="208"/>
      <c r="AM47" s="208"/>
      <c r="AN47" s="208"/>
      <c r="AO47" s="208"/>
      <c r="AP47" s="208"/>
      <c r="AQ47" s="208"/>
      <c r="AR47" s="208"/>
      <c r="AS47" s="208"/>
      <c r="AT47" s="208"/>
      <c r="AU47" s="208"/>
      <c r="AV47" s="208"/>
      <c r="AW47" s="208"/>
      <c r="AX47" s="208"/>
      <c r="AY47" s="208"/>
      <c r="AZ47" s="208"/>
      <c r="BA47" s="208"/>
      <c r="BB47" s="208"/>
      <c r="BC47" s="30"/>
      <c r="BD47" s="208"/>
      <c r="BE47" s="20"/>
    </row>
    <row r="48" spans="1:57" ht="15" customHeight="1" thickBot="1" x14ac:dyDescent="0.25">
      <c r="A48" s="30"/>
      <c r="B48" s="30"/>
      <c r="C48" s="30"/>
      <c r="D48" s="30"/>
      <c r="E48" s="30"/>
      <c r="F48" s="30"/>
      <c r="G48" s="269"/>
      <c r="H48" s="208"/>
      <c r="I48" s="291" t="s">
        <v>389</v>
      </c>
      <c r="J48" s="284"/>
      <c r="K48" s="327" t="s">
        <v>363</v>
      </c>
      <c r="L48" s="322">
        <f>ROUNDDOWN(E21*0.95,1)</f>
        <v>14.2</v>
      </c>
      <c r="M48" s="317" t="s">
        <v>391</v>
      </c>
      <c r="N48" s="317"/>
      <c r="O48" s="322">
        <f>E21</f>
        <v>15</v>
      </c>
      <c r="P48" s="277"/>
      <c r="Q48" s="1">
        <v>0</v>
      </c>
      <c r="R48" s="334" t="str">
        <f>IF(ISNUMBER(Q48),"","Err")</f>
        <v/>
      </c>
      <c r="S48" s="214"/>
      <c r="T48" s="653"/>
      <c r="U48" s="654"/>
      <c r="V48" s="269"/>
      <c r="W48" s="269"/>
      <c r="X48" s="269"/>
      <c r="Y48" s="269"/>
      <c r="Z48" s="269"/>
      <c r="AA48" s="269"/>
      <c r="AB48" s="269"/>
      <c r="AC48" s="269"/>
      <c r="AD48" s="269"/>
      <c r="AE48" s="269"/>
      <c r="AF48" s="20"/>
      <c r="AG48" s="208"/>
      <c r="AH48" s="208"/>
      <c r="AI48" s="208"/>
      <c r="AJ48" s="208"/>
      <c r="AK48" s="208"/>
      <c r="AL48" s="208"/>
      <c r="AM48" s="208"/>
      <c r="AN48" s="208"/>
      <c r="AO48" s="208"/>
      <c r="AP48" s="208"/>
      <c r="AQ48" s="208"/>
      <c r="AR48" s="208"/>
      <c r="AS48" s="208"/>
      <c r="AT48" s="208"/>
      <c r="AU48" s="208"/>
      <c r="AV48" s="208"/>
      <c r="AW48" s="208"/>
      <c r="AX48" s="208"/>
      <c r="AY48" s="208"/>
      <c r="AZ48" s="208"/>
      <c r="BA48" s="208"/>
      <c r="BB48" s="208"/>
      <c r="BC48" s="30"/>
      <c r="BD48" s="208"/>
      <c r="BE48" s="20"/>
    </row>
    <row r="49" spans="1:57" ht="15" customHeight="1" x14ac:dyDescent="0.2">
      <c r="A49" s="30"/>
      <c r="B49" s="30"/>
      <c r="C49" s="30"/>
      <c r="D49" s="30"/>
      <c r="E49" s="30"/>
      <c r="F49" s="30"/>
      <c r="G49" s="269"/>
      <c r="H49" s="208"/>
      <c r="I49" s="292" t="s">
        <v>390</v>
      </c>
      <c r="J49" s="284"/>
      <c r="K49" s="328" t="s">
        <v>363</v>
      </c>
      <c r="L49" s="323">
        <f>ROUNDUP(E21*1.05,1)</f>
        <v>15.799999999999999</v>
      </c>
      <c r="M49" s="318" t="s">
        <v>392</v>
      </c>
      <c r="N49" s="319"/>
      <c r="O49" s="323">
        <f>E21*0.9</f>
        <v>13.5</v>
      </c>
      <c r="P49" s="277"/>
      <c r="Q49" s="175">
        <v>0</v>
      </c>
      <c r="R49" s="334" t="str">
        <f>IF(ISNUMBER(Q49),"","Err")</f>
        <v/>
      </c>
      <c r="S49" s="214"/>
      <c r="T49" s="653"/>
      <c r="U49" s="654"/>
      <c r="V49" s="269"/>
      <c r="W49" s="269"/>
      <c r="X49" s="269"/>
      <c r="Y49" s="269"/>
      <c r="Z49" s="269"/>
      <c r="AA49" s="269"/>
      <c r="AB49" s="269"/>
      <c r="AC49" s="269"/>
      <c r="AD49" s="269"/>
      <c r="AE49" s="269"/>
      <c r="AF49" s="20"/>
      <c r="AG49" s="208"/>
      <c r="AH49" s="208"/>
      <c r="AI49" s="208"/>
      <c r="AJ49" s="208"/>
      <c r="AK49" s="208"/>
      <c r="AL49" s="208"/>
      <c r="AM49" s="208"/>
      <c r="AN49" s="208"/>
      <c r="AO49" s="208"/>
      <c r="AP49" s="208"/>
      <c r="AQ49" s="208"/>
      <c r="AR49" s="208"/>
      <c r="AS49" s="208"/>
      <c r="AT49" s="208"/>
      <c r="AU49" s="208"/>
      <c r="AV49" s="208"/>
      <c r="AW49" s="208"/>
      <c r="AX49" s="208"/>
      <c r="AY49" s="208"/>
      <c r="AZ49" s="208"/>
      <c r="BA49" s="208"/>
      <c r="BB49" s="208"/>
      <c r="BC49" s="30"/>
      <c r="BD49" s="208"/>
      <c r="BE49" s="20"/>
    </row>
    <row r="50" spans="1:57" ht="15" customHeight="1" x14ac:dyDescent="0.2">
      <c r="A50" s="257"/>
      <c r="B50" s="257"/>
      <c r="C50" s="257"/>
      <c r="D50" s="257"/>
      <c r="E50" s="257"/>
      <c r="F50" s="30"/>
      <c r="G50" s="269"/>
      <c r="H50" s="208"/>
      <c r="I50" s="30"/>
      <c r="J50" s="30"/>
      <c r="K50" s="30"/>
      <c r="L50" s="30"/>
      <c r="M50" s="30"/>
      <c r="N50" s="30"/>
      <c r="O50" s="30"/>
      <c r="P50" s="30"/>
      <c r="Q50" s="333"/>
      <c r="R50" s="333"/>
      <c r="S50" s="333"/>
      <c r="T50" s="653"/>
      <c r="U50" s="654"/>
      <c r="V50" s="269"/>
      <c r="W50" s="269"/>
      <c r="X50" s="269"/>
      <c r="Y50" s="269"/>
      <c r="Z50" s="269"/>
      <c r="AA50" s="269"/>
      <c r="AB50" s="269"/>
      <c r="AC50" s="269"/>
      <c r="AD50" s="269"/>
      <c r="AE50" s="269"/>
      <c r="AF50" s="20"/>
      <c r="AG50" s="208"/>
      <c r="AH50" s="208"/>
      <c r="AI50" s="208"/>
      <c r="AJ50" s="208"/>
      <c r="AK50" s="208"/>
      <c r="AL50" s="208"/>
      <c r="AM50" s="208"/>
      <c r="AN50" s="208"/>
      <c r="AO50" s="208"/>
      <c r="AP50" s="208"/>
      <c r="AQ50" s="208"/>
      <c r="AR50" s="208"/>
      <c r="AS50" s="208"/>
      <c r="AT50" s="208"/>
      <c r="AU50" s="208"/>
      <c r="AV50" s="208"/>
      <c r="AW50" s="208"/>
      <c r="AX50" s="208"/>
      <c r="AY50" s="208"/>
      <c r="AZ50" s="208"/>
      <c r="BA50" s="208"/>
      <c r="BB50" s="208"/>
      <c r="BC50" s="30"/>
      <c r="BD50" s="208"/>
      <c r="BE50" s="20"/>
    </row>
    <row r="51" spans="1:57" x14ac:dyDescent="0.2">
      <c r="A51" s="257"/>
      <c r="B51" s="257"/>
      <c r="C51" s="257"/>
      <c r="D51" s="257"/>
      <c r="E51" s="257"/>
      <c r="F51" s="30"/>
      <c r="G51" s="269"/>
      <c r="H51" s="208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653"/>
      <c r="U51" s="654"/>
      <c r="V51" s="269"/>
      <c r="W51" s="269"/>
      <c r="X51" s="269"/>
      <c r="Y51" s="269"/>
      <c r="Z51" s="269"/>
      <c r="AA51" s="269"/>
      <c r="AB51" s="269"/>
      <c r="AC51" s="269"/>
      <c r="AD51" s="269"/>
      <c r="AE51" s="269"/>
      <c r="AF51" s="20"/>
      <c r="AG51" s="208"/>
      <c r="AH51" s="208"/>
      <c r="AI51" s="208"/>
      <c r="AJ51" s="208"/>
      <c r="AK51" s="208"/>
      <c r="AL51" s="208"/>
      <c r="AM51" s="208"/>
      <c r="AN51" s="208"/>
      <c r="AO51" s="208"/>
      <c r="AP51" s="208"/>
      <c r="AQ51" s="208"/>
      <c r="AR51" s="208"/>
      <c r="AS51" s="208"/>
      <c r="AT51" s="208"/>
      <c r="AU51" s="208"/>
      <c r="AV51" s="208"/>
      <c r="AW51" s="208"/>
      <c r="AX51" s="208"/>
      <c r="AY51" s="208"/>
      <c r="AZ51" s="208"/>
      <c r="BA51" s="208"/>
      <c r="BB51" s="208"/>
      <c r="BC51" s="30"/>
      <c r="BD51" s="208"/>
      <c r="BE51" s="20"/>
    </row>
    <row r="52" spans="1:57" ht="15" x14ac:dyDescent="0.2">
      <c r="A52" s="257"/>
      <c r="B52" s="257"/>
      <c r="C52" s="257"/>
      <c r="D52" s="257"/>
      <c r="E52" s="257"/>
      <c r="F52" s="30"/>
      <c r="G52" s="269"/>
      <c r="H52" s="208"/>
      <c r="I52" s="490" t="s">
        <v>514</v>
      </c>
      <c r="J52" s="212"/>
      <c r="K52" s="212"/>
      <c r="L52" s="212"/>
      <c r="M52" s="212"/>
      <c r="N52" s="212"/>
      <c r="O52" s="212"/>
      <c r="P52" s="212"/>
      <c r="Q52" s="212"/>
      <c r="R52" s="212"/>
      <c r="S52" s="212"/>
      <c r="T52" s="653"/>
      <c r="U52" s="654"/>
      <c r="V52" s="269"/>
      <c r="W52" s="269"/>
      <c r="X52" s="269"/>
      <c r="Y52" s="269"/>
      <c r="Z52" s="269"/>
      <c r="AA52" s="269"/>
      <c r="AB52" s="269"/>
      <c r="AC52" s="269"/>
      <c r="AD52" s="269"/>
      <c r="AE52" s="269"/>
      <c r="AF52" s="20"/>
      <c r="AG52" s="208"/>
      <c r="AH52" s="208"/>
      <c r="AI52" s="208"/>
      <c r="AJ52" s="208"/>
      <c r="AK52" s="208"/>
      <c r="AL52" s="208"/>
      <c r="AM52" s="208"/>
      <c r="AN52" s="208"/>
      <c r="AO52" s="208"/>
      <c r="AP52" s="208"/>
      <c r="AQ52" s="208"/>
      <c r="AR52" s="208"/>
      <c r="AS52" s="208"/>
      <c r="AT52" s="208"/>
      <c r="AU52" s="208"/>
      <c r="AV52" s="208"/>
      <c r="AW52" s="208"/>
      <c r="AX52" s="208"/>
      <c r="AY52" s="208"/>
      <c r="AZ52" s="208"/>
      <c r="BA52" s="208"/>
      <c r="BB52" s="208"/>
      <c r="BC52" s="30"/>
      <c r="BD52" s="208"/>
      <c r="BE52" s="20"/>
    </row>
    <row r="53" spans="1:57" ht="18" x14ac:dyDescent="0.25">
      <c r="A53" s="257"/>
      <c r="B53" s="257"/>
      <c r="C53" s="257"/>
      <c r="D53" s="257"/>
      <c r="E53" s="257"/>
      <c r="F53" s="30"/>
      <c r="G53" s="269"/>
      <c r="H53" s="214"/>
      <c r="I53" s="264"/>
      <c r="J53" s="265"/>
      <c r="K53" s="265"/>
      <c r="L53" s="265"/>
      <c r="M53" s="265"/>
      <c r="N53" s="265"/>
      <c r="O53" s="265"/>
      <c r="P53" s="265"/>
      <c r="Q53" s="265"/>
      <c r="R53" s="265"/>
      <c r="S53" s="265"/>
      <c r="T53" s="653"/>
      <c r="U53" s="654"/>
      <c r="V53" s="269"/>
      <c r="W53" s="269"/>
      <c r="X53" s="269"/>
      <c r="Y53" s="269"/>
      <c r="Z53" s="269"/>
      <c r="AA53" s="269"/>
      <c r="AB53" s="269"/>
      <c r="AC53" s="269"/>
      <c r="AD53" s="269"/>
      <c r="AE53" s="269"/>
      <c r="AF53" s="269"/>
      <c r="AG53" s="208"/>
      <c r="AH53" s="208"/>
      <c r="AI53" s="208"/>
      <c r="AJ53" s="208"/>
      <c r="AK53" s="208"/>
      <c r="AL53" s="208"/>
      <c r="AM53" s="208"/>
      <c r="AN53" s="208"/>
      <c r="AO53" s="208"/>
      <c r="AP53" s="208"/>
      <c r="AQ53" s="208"/>
      <c r="AR53" s="208"/>
      <c r="AS53" s="208"/>
      <c r="AT53" s="208"/>
      <c r="AU53" s="208"/>
      <c r="AV53" s="208"/>
      <c r="AW53" s="208"/>
      <c r="AX53" s="208"/>
      <c r="AY53" s="208"/>
      <c r="AZ53" s="208"/>
      <c r="BA53" s="208"/>
      <c r="BB53" s="208"/>
      <c r="BC53" s="30"/>
      <c r="BD53" s="208"/>
      <c r="BE53" s="20"/>
    </row>
    <row r="54" spans="1:57" ht="12.75" customHeight="1" x14ac:dyDescent="0.2">
      <c r="A54" s="257"/>
      <c r="B54" s="257"/>
      <c r="C54" s="257"/>
      <c r="D54" s="257"/>
      <c r="E54" s="257"/>
      <c r="F54" s="30"/>
      <c r="G54" s="269"/>
      <c r="H54" s="30"/>
      <c r="I54" s="457" t="s">
        <v>399</v>
      </c>
      <c r="J54" s="458"/>
      <c r="K54" s="458"/>
      <c r="L54" s="458"/>
      <c r="M54" s="458"/>
      <c r="N54" s="458"/>
      <c r="O54" s="458"/>
      <c r="P54" s="294"/>
      <c r="Q54" s="293"/>
      <c r="R54" s="294"/>
      <c r="S54" s="294"/>
      <c r="T54" s="653"/>
      <c r="U54" s="654"/>
      <c r="V54" s="269"/>
      <c r="W54" s="269"/>
      <c r="X54" s="269"/>
      <c r="Y54" s="269"/>
      <c r="Z54" s="269"/>
      <c r="AA54" s="269"/>
      <c r="AB54" s="269"/>
      <c r="AC54" s="269"/>
      <c r="AD54" s="269"/>
      <c r="AE54" s="269"/>
      <c r="AF54" s="269"/>
      <c r="AG54" s="208"/>
      <c r="AH54" s="208"/>
      <c r="AI54" s="208"/>
      <c r="AJ54" s="208"/>
      <c r="AK54" s="208"/>
      <c r="AL54" s="208"/>
      <c r="AM54" s="208"/>
      <c r="AN54" s="208"/>
      <c r="AO54" s="208"/>
      <c r="AP54" s="208"/>
      <c r="AQ54" s="208"/>
      <c r="AR54" s="208"/>
      <c r="AS54" s="208"/>
      <c r="AT54" s="208"/>
      <c r="AU54" s="208"/>
      <c r="AV54" s="208"/>
      <c r="AW54" s="208"/>
      <c r="AX54" s="208"/>
      <c r="AY54" s="208"/>
      <c r="AZ54" s="208"/>
      <c r="BA54" s="208"/>
      <c r="BB54" s="208"/>
      <c r="BC54" s="208"/>
      <c r="BD54" s="208"/>
      <c r="BE54" s="20"/>
    </row>
    <row r="55" spans="1:57" ht="13.5" thickBot="1" x14ac:dyDescent="0.25">
      <c r="A55" s="257"/>
      <c r="B55" s="257"/>
      <c r="C55" s="257"/>
      <c r="D55" s="257"/>
      <c r="E55" s="257"/>
      <c r="F55" s="30"/>
      <c r="G55" s="269"/>
      <c r="H55" s="30"/>
      <c r="I55" s="459"/>
      <c r="J55" s="298"/>
      <c r="K55" s="298"/>
      <c r="L55" s="298"/>
      <c r="M55" s="298"/>
      <c r="N55" s="298"/>
      <c r="O55" s="298"/>
      <c r="P55" s="298"/>
      <c r="Q55" s="293"/>
      <c r="R55" s="298"/>
      <c r="S55" s="298"/>
      <c r="T55" s="653"/>
      <c r="U55" s="654"/>
      <c r="V55" s="269"/>
      <c r="W55" s="269"/>
      <c r="X55" s="269"/>
      <c r="Y55" s="269"/>
      <c r="Z55" s="269"/>
      <c r="AA55" s="269"/>
      <c r="AB55" s="269"/>
      <c r="AC55" s="269"/>
      <c r="AD55" s="269"/>
      <c r="AE55" s="269"/>
      <c r="AF55" s="269"/>
      <c r="AG55" s="208"/>
      <c r="AH55" s="208"/>
      <c r="AI55" s="208"/>
      <c r="AJ55" s="208"/>
      <c r="AK55" s="208"/>
      <c r="AL55" s="208"/>
      <c r="AM55" s="208"/>
      <c r="AN55" s="208"/>
      <c r="AO55" s="208"/>
      <c r="AP55" s="208"/>
      <c r="AQ55" s="208"/>
      <c r="AR55" s="208"/>
      <c r="AS55" s="208"/>
      <c r="AT55" s="208"/>
      <c r="AU55" s="208"/>
      <c r="AV55" s="208"/>
      <c r="AW55" s="208"/>
      <c r="AX55" s="208"/>
      <c r="AY55" s="208"/>
      <c r="AZ55" s="208"/>
      <c r="BA55" s="208"/>
      <c r="BB55" s="208"/>
      <c r="BC55" s="208"/>
      <c r="BD55" s="208"/>
      <c r="BE55" s="20"/>
    </row>
    <row r="56" spans="1:57" ht="16.5" thickBot="1" x14ac:dyDescent="0.25">
      <c r="A56" s="257"/>
      <c r="B56" s="257"/>
      <c r="C56" s="257"/>
      <c r="D56" s="257"/>
      <c r="E56" s="257"/>
      <c r="F56" s="30"/>
      <c r="G56" s="269"/>
      <c r="H56" s="293"/>
      <c r="I56" s="412" t="s">
        <v>368</v>
      </c>
      <c r="J56" s="413" t="s">
        <v>372</v>
      </c>
      <c r="K56" s="414" t="s">
        <v>373</v>
      </c>
      <c r="L56" s="414" t="s">
        <v>374</v>
      </c>
      <c r="M56" s="414" t="s">
        <v>369</v>
      </c>
      <c r="N56" s="414" t="s">
        <v>375</v>
      </c>
      <c r="O56" s="414" t="s">
        <v>376</v>
      </c>
      <c r="P56" s="415" t="s">
        <v>377</v>
      </c>
      <c r="Q56" s="295"/>
      <c r="R56" s="298"/>
      <c r="S56" s="298"/>
      <c r="T56" s="653"/>
      <c r="U56" s="654"/>
      <c r="V56" s="269"/>
      <c r="W56" s="269"/>
      <c r="X56" s="269"/>
      <c r="Y56" s="269"/>
      <c r="Z56" s="269"/>
      <c r="AA56" s="269"/>
      <c r="AB56" s="269"/>
      <c r="AC56" s="269"/>
      <c r="AD56" s="269"/>
      <c r="AE56" s="269"/>
      <c r="AF56" s="269"/>
      <c r="AG56" s="208"/>
      <c r="AH56" s="208"/>
      <c r="AI56" s="208"/>
      <c r="AJ56" s="208"/>
      <c r="AK56" s="208"/>
      <c r="AL56" s="208"/>
      <c r="AM56" s="208"/>
      <c r="AN56" s="208"/>
      <c r="AO56" s="208"/>
      <c r="AP56" s="208"/>
      <c r="AQ56" s="208"/>
      <c r="AR56" s="208"/>
      <c r="AS56" s="208"/>
      <c r="AT56" s="208"/>
      <c r="AU56" s="208"/>
      <c r="AV56" s="208"/>
      <c r="AW56" s="208"/>
      <c r="AX56" s="208"/>
      <c r="AY56" s="208"/>
      <c r="AZ56" s="208"/>
      <c r="BA56" s="208"/>
      <c r="BB56" s="208"/>
      <c r="BC56" s="208"/>
      <c r="BD56" s="208"/>
      <c r="BE56" s="20"/>
    </row>
    <row r="57" spans="1:57" x14ac:dyDescent="0.2">
      <c r="A57" s="257"/>
      <c r="B57" s="257"/>
      <c r="C57" s="257"/>
      <c r="D57" s="257"/>
      <c r="E57" s="257"/>
      <c r="F57" s="30"/>
      <c r="G57" s="269"/>
      <c r="H57" s="293"/>
      <c r="I57" s="416" t="s">
        <v>354</v>
      </c>
      <c r="J57" s="781">
        <f>E18</f>
        <v>6</v>
      </c>
      <c r="K57" s="417">
        <f>IF(OR(Q33="",Q33=0),O33,Q33)</f>
        <v>3.4641016151377548</v>
      </c>
      <c r="L57" s="417">
        <f>K57*SQRT(3)</f>
        <v>6</v>
      </c>
      <c r="M57" s="602">
        <f>(L57/J57)*100-100</f>
        <v>0</v>
      </c>
      <c r="N57" s="417">
        <f>IF(OR(Q34="",Q34=0),O34,Q34)</f>
        <v>3.1176914536239795</v>
      </c>
      <c r="O57" s="417">
        <f>N57*SQRT(3)</f>
        <v>5.4</v>
      </c>
      <c r="P57" s="527">
        <f>O57/L57</f>
        <v>0.9</v>
      </c>
      <c r="Q57" s="172" t="str">
        <f>IF(OR(IF(ISNUMBER(M57),IF(ABS(M57)&gt;10,1,0),0),IF(ISNUMBER(P57),IF(ABS(P57)&lt;0.9,1,0),0),IF(ISNUMBER(P57),IF(ABS(P57)&gt;0.98,1,0),0)),"&lt;= Err","")</f>
        <v/>
      </c>
      <c r="R57" s="298"/>
      <c r="S57" s="298"/>
      <c r="T57" s="653"/>
      <c r="U57" s="654"/>
      <c r="V57" s="269"/>
      <c r="W57" s="269"/>
      <c r="X57" s="269"/>
      <c r="Y57" s="269"/>
      <c r="Z57" s="269"/>
      <c r="AA57" s="269"/>
      <c r="AB57" s="269"/>
      <c r="AC57" s="269"/>
      <c r="AD57" s="269"/>
      <c r="AE57" s="269"/>
      <c r="AF57" s="269"/>
      <c r="AG57" s="208"/>
      <c r="AH57" s="208"/>
      <c r="AI57" s="208"/>
      <c r="AJ57" s="208"/>
      <c r="AK57" s="208"/>
      <c r="AL57" s="208"/>
      <c r="AM57" s="208"/>
      <c r="AN57" s="208"/>
      <c r="AO57" s="208"/>
      <c r="AP57" s="208"/>
      <c r="AQ57" s="208"/>
      <c r="AR57" s="208"/>
      <c r="AS57" s="208"/>
      <c r="AT57" s="208"/>
      <c r="AU57" s="208"/>
      <c r="AV57" s="208"/>
      <c r="AW57" s="208"/>
      <c r="AX57" s="208"/>
      <c r="AY57" s="208"/>
      <c r="AZ57" s="208"/>
      <c r="BA57" s="208"/>
      <c r="BB57" s="208"/>
      <c r="BC57" s="208"/>
      <c r="BD57" s="208"/>
      <c r="BE57" s="20"/>
    </row>
    <row r="58" spans="1:57" x14ac:dyDescent="0.2">
      <c r="A58" s="257"/>
      <c r="B58" s="257"/>
      <c r="C58" s="257"/>
      <c r="D58" s="257"/>
      <c r="E58" s="257"/>
      <c r="F58" s="30"/>
      <c r="G58" s="269"/>
      <c r="H58" s="293"/>
      <c r="I58" s="418" t="s">
        <v>355</v>
      </c>
      <c r="J58" s="782"/>
      <c r="K58" s="419">
        <f>IF(OR(R33="",R33=0),O33,R33)</f>
        <v>3.4641016151377548</v>
      </c>
      <c r="L58" s="419">
        <f>K58*SQRT(3)</f>
        <v>6</v>
      </c>
      <c r="M58" s="603">
        <f>(L58/J57)*100-100</f>
        <v>0</v>
      </c>
      <c r="N58" s="419">
        <f>IF(OR(R34="",R34=0),O34,R34)</f>
        <v>3.1176914536239795</v>
      </c>
      <c r="O58" s="419">
        <f>N58*SQRT(3)</f>
        <v>5.4</v>
      </c>
      <c r="P58" s="528">
        <f>O58/L58</f>
        <v>0.9</v>
      </c>
      <c r="Q58" s="172" t="str">
        <f>IF(OR(IF(ISNUMBER(M58),IF(ABS(M58)&gt;10,1,0),0),IF(ISNUMBER(P58),IF(ABS(P58)&lt;0.9,1,0),0),IF(ISNUMBER(P58),IF(ABS(P58)&gt;0.98,1,0),0)),"&lt;= Err","")</f>
        <v/>
      </c>
      <c r="R58" s="296"/>
      <c r="S58" s="296"/>
      <c r="T58" s="653"/>
      <c r="U58" s="654"/>
      <c r="V58" s="269"/>
      <c r="W58" s="269"/>
      <c r="X58" s="269"/>
      <c r="Y58" s="269"/>
      <c r="Z58" s="269"/>
      <c r="AA58" s="269"/>
      <c r="AB58" s="269"/>
      <c r="AC58" s="269"/>
      <c r="AD58" s="269"/>
      <c r="AE58" s="269"/>
      <c r="AF58" s="269"/>
      <c r="AG58" s="208"/>
      <c r="AH58" s="208"/>
      <c r="AI58" s="208"/>
      <c r="AJ58" s="208"/>
      <c r="AK58" s="208"/>
      <c r="AL58" s="208"/>
      <c r="AM58" s="208"/>
      <c r="AN58" s="208"/>
      <c r="AO58" s="208"/>
      <c r="AP58" s="208"/>
      <c r="AQ58" s="208"/>
      <c r="AR58" s="208"/>
      <c r="AS58" s="208"/>
      <c r="AT58" s="208"/>
      <c r="AU58" s="208"/>
      <c r="AV58" s="208"/>
      <c r="AW58" s="208"/>
      <c r="AX58" s="208"/>
      <c r="AY58" s="208"/>
      <c r="AZ58" s="208"/>
      <c r="BA58" s="208"/>
      <c r="BB58" s="208"/>
      <c r="BC58" s="208"/>
      <c r="BD58" s="208"/>
      <c r="BE58" s="20"/>
    </row>
    <row r="59" spans="1:57" ht="13.5" thickBot="1" x14ac:dyDescent="0.25">
      <c r="A59" s="257"/>
      <c r="B59" s="257"/>
      <c r="C59" s="257"/>
      <c r="D59" s="257"/>
      <c r="E59" s="257"/>
      <c r="F59" s="30"/>
      <c r="G59" s="269"/>
      <c r="H59" s="293"/>
      <c r="I59" s="420" t="s">
        <v>230</v>
      </c>
      <c r="J59" s="783"/>
      <c r="K59" s="421">
        <f>IF(OR(S33="",S33=0),O33,S33)</f>
        <v>3.4641016151377548</v>
      </c>
      <c r="L59" s="421">
        <f>K59*SQRT(3)</f>
        <v>6</v>
      </c>
      <c r="M59" s="604">
        <f>(L59/J57)*100-100</f>
        <v>0</v>
      </c>
      <c r="N59" s="421">
        <f>IF(OR(S34="",S34=0),O34,S34)</f>
        <v>3.1176914536239795</v>
      </c>
      <c r="O59" s="421">
        <f>N59*SQRT(3)</f>
        <v>5.4</v>
      </c>
      <c r="P59" s="529">
        <f>O59/L59</f>
        <v>0.9</v>
      </c>
      <c r="Q59" s="172" t="str">
        <f>IF(OR(IF(ISNUMBER(M59),IF(ABS(M59)&gt;10,1,0),0),IF(ISNUMBER(P59),IF(ABS(P59)&lt;0.9,1,0),0),IF(ISNUMBER(P59),IF(ABS(P59)&gt;0.98,1,0),0)),"&lt;= Err","")</f>
        <v/>
      </c>
      <c r="R59" s="298"/>
      <c r="S59" s="298"/>
      <c r="T59" s="653"/>
      <c r="U59" s="654"/>
      <c r="V59" s="269"/>
      <c r="W59" s="269"/>
      <c r="X59" s="269"/>
      <c r="Y59" s="269"/>
      <c r="Z59" s="269"/>
      <c r="AA59" s="269"/>
      <c r="AB59" s="269"/>
      <c r="AC59" s="269"/>
      <c r="AD59" s="269"/>
      <c r="AE59" s="269"/>
      <c r="AF59" s="269"/>
      <c r="AG59" s="208"/>
      <c r="AH59" s="208"/>
      <c r="AI59" s="208"/>
      <c r="AJ59" s="208"/>
      <c r="AK59" s="208"/>
      <c r="AL59" s="208"/>
      <c r="AM59" s="208"/>
      <c r="AN59" s="208"/>
      <c r="AO59" s="208"/>
      <c r="AP59" s="208"/>
      <c r="AQ59" s="208"/>
      <c r="AR59" s="208"/>
      <c r="AS59" s="208"/>
      <c r="AT59" s="208"/>
      <c r="AU59" s="208"/>
      <c r="AV59" s="208"/>
      <c r="AW59" s="208"/>
      <c r="AX59" s="208"/>
      <c r="AY59" s="208"/>
      <c r="AZ59" s="208"/>
      <c r="BA59" s="208"/>
      <c r="BB59" s="208"/>
      <c r="BC59" s="208"/>
      <c r="BD59" s="208"/>
      <c r="BE59" s="269"/>
    </row>
    <row r="60" spans="1:57" x14ac:dyDescent="0.2">
      <c r="A60" s="257"/>
      <c r="B60" s="257"/>
      <c r="C60" s="257"/>
      <c r="D60" s="257"/>
      <c r="E60" s="257"/>
      <c r="F60" s="30"/>
      <c r="G60" s="269"/>
      <c r="H60" s="293"/>
      <c r="I60" s="294"/>
      <c r="J60" s="790"/>
      <c r="K60" s="790"/>
      <c r="L60" s="790"/>
      <c r="M60" s="790"/>
      <c r="N60" s="464"/>
      <c r="O60" s="464"/>
      <c r="P60" s="297"/>
      <c r="Q60" s="297"/>
      <c r="R60" s="297"/>
      <c r="S60" s="297"/>
      <c r="T60" s="653"/>
      <c r="U60" s="269"/>
      <c r="V60" s="269"/>
      <c r="W60" s="269"/>
      <c r="X60" s="269"/>
      <c r="Y60" s="269"/>
      <c r="Z60" s="269"/>
      <c r="AA60" s="269"/>
      <c r="AB60" s="269"/>
      <c r="AC60" s="269"/>
      <c r="AD60" s="269"/>
      <c r="AE60" s="269"/>
      <c r="AF60" s="269"/>
      <c r="AG60" s="208"/>
      <c r="AH60" s="208"/>
      <c r="AI60" s="208"/>
      <c r="AJ60" s="208"/>
      <c r="AK60" s="208"/>
      <c r="AL60" s="208"/>
      <c r="AM60" s="208"/>
      <c r="AN60" s="208"/>
      <c r="AO60" s="208"/>
      <c r="AP60" s="208"/>
      <c r="AQ60" s="208"/>
      <c r="AR60" s="208"/>
      <c r="AS60" s="208"/>
      <c r="AT60" s="208"/>
      <c r="AU60" s="208"/>
      <c r="AV60" s="208"/>
      <c r="AW60" s="208"/>
      <c r="AX60" s="208"/>
      <c r="AY60" s="208"/>
      <c r="AZ60" s="208"/>
      <c r="BA60" s="208"/>
      <c r="BB60" s="208"/>
      <c r="BC60" s="208"/>
      <c r="BD60" s="208"/>
      <c r="BE60" s="269"/>
    </row>
    <row r="61" spans="1:57" x14ac:dyDescent="0.2">
      <c r="A61" s="257"/>
      <c r="B61" s="257"/>
      <c r="C61" s="257"/>
      <c r="D61" s="257"/>
      <c r="E61" s="257"/>
      <c r="F61" s="30"/>
      <c r="G61" s="269"/>
      <c r="H61" s="293"/>
      <c r="I61" s="457" t="s">
        <v>401</v>
      </c>
      <c r="J61" s="297"/>
      <c r="K61" s="297"/>
      <c r="L61" s="297"/>
      <c r="M61" s="297"/>
      <c r="N61" s="297"/>
      <c r="O61" s="297"/>
      <c r="P61" s="297"/>
      <c r="Q61" s="297"/>
      <c r="R61" s="297"/>
      <c r="S61" s="297"/>
      <c r="T61" s="653"/>
      <c r="U61" s="269"/>
      <c r="V61" s="269"/>
      <c r="W61" s="269"/>
      <c r="X61" s="269"/>
      <c r="Y61" s="269"/>
      <c r="Z61" s="269"/>
      <c r="AA61" s="269"/>
      <c r="AB61" s="269"/>
      <c r="AC61" s="269"/>
      <c r="AD61" s="269"/>
      <c r="AE61" s="269"/>
      <c r="AF61" s="269"/>
      <c r="AG61" s="208"/>
      <c r="AH61" s="208"/>
      <c r="AI61" s="208"/>
      <c r="AJ61" s="208"/>
      <c r="AK61" s="208"/>
      <c r="AL61" s="208"/>
      <c r="AM61" s="208"/>
      <c r="AN61" s="208"/>
      <c r="AO61" s="208"/>
      <c r="AP61" s="208"/>
      <c r="AQ61" s="208"/>
      <c r="AR61" s="208"/>
      <c r="AS61" s="208"/>
      <c r="AT61" s="208"/>
      <c r="AU61" s="208"/>
      <c r="AV61" s="208"/>
      <c r="AW61" s="208"/>
      <c r="AX61" s="208"/>
      <c r="AY61" s="208"/>
      <c r="AZ61" s="208"/>
      <c r="BA61" s="208"/>
      <c r="BB61" s="208"/>
      <c r="BC61" s="208"/>
      <c r="BD61" s="208"/>
      <c r="BE61" s="269"/>
    </row>
    <row r="62" spans="1:57" ht="13.5" thickBot="1" x14ac:dyDescent="0.25">
      <c r="A62" s="257"/>
      <c r="B62" s="257"/>
      <c r="C62" s="257"/>
      <c r="D62" s="257"/>
      <c r="E62" s="257"/>
      <c r="F62" s="30"/>
      <c r="G62" s="269"/>
      <c r="H62" s="293"/>
      <c r="I62" s="294"/>
      <c r="J62" s="297"/>
      <c r="K62" s="297"/>
      <c r="L62" s="297"/>
      <c r="M62" s="297"/>
      <c r="N62" s="297"/>
      <c r="O62" s="297"/>
      <c r="P62" s="297"/>
      <c r="Q62" s="297"/>
      <c r="R62" s="297"/>
      <c r="S62" s="297"/>
      <c r="T62" s="653"/>
      <c r="U62" s="269"/>
      <c r="V62" s="269"/>
      <c r="W62" s="269"/>
      <c r="X62" s="269"/>
      <c r="Y62" s="269"/>
      <c r="Z62" s="269"/>
      <c r="AA62" s="269"/>
      <c r="AB62" s="269"/>
      <c r="AC62" s="269"/>
      <c r="AD62" s="269"/>
      <c r="AE62" s="269"/>
      <c r="AF62" s="269"/>
      <c r="AG62" s="208"/>
      <c r="AH62" s="208"/>
      <c r="AI62" s="208"/>
      <c r="AJ62" s="208"/>
      <c r="AK62" s="208"/>
      <c r="AL62" s="208"/>
      <c r="AM62" s="208"/>
      <c r="AN62" s="208"/>
      <c r="AO62" s="208"/>
      <c r="AP62" s="208"/>
      <c r="AQ62" s="208"/>
      <c r="AR62" s="208"/>
      <c r="AS62" s="208"/>
      <c r="AT62" s="208"/>
      <c r="AU62" s="208"/>
      <c r="AV62" s="208"/>
      <c r="AW62" s="208"/>
      <c r="AX62" s="208"/>
      <c r="AY62" s="208"/>
      <c r="AZ62" s="208"/>
      <c r="BA62" s="208"/>
      <c r="BB62" s="208"/>
      <c r="BC62" s="208"/>
      <c r="BD62" s="208"/>
      <c r="BE62" s="269"/>
    </row>
    <row r="63" spans="1:57" ht="12.75" customHeight="1" thickBot="1" x14ac:dyDescent="0.25">
      <c r="A63" s="257"/>
      <c r="B63" s="257"/>
      <c r="C63" s="257"/>
      <c r="D63" s="257"/>
      <c r="E63" s="257"/>
      <c r="F63" s="30"/>
      <c r="G63" s="269"/>
      <c r="H63" s="293"/>
      <c r="I63" s="412" t="s">
        <v>393</v>
      </c>
      <c r="J63" s="413" t="s">
        <v>378</v>
      </c>
      <c r="K63" s="414" t="s">
        <v>379</v>
      </c>
      <c r="L63" s="414" t="s">
        <v>369</v>
      </c>
      <c r="M63" s="414" t="s">
        <v>380</v>
      </c>
      <c r="N63" s="415" t="s">
        <v>377</v>
      </c>
      <c r="O63" s="465"/>
      <c r="P63" s="214"/>
      <c r="Q63" s="297"/>
      <c r="R63" s="297"/>
      <c r="S63" s="297"/>
      <c r="T63" s="653"/>
      <c r="U63" s="269"/>
      <c r="V63" s="269"/>
      <c r="W63" s="269"/>
      <c r="X63" s="269"/>
      <c r="Y63" s="269"/>
      <c r="Z63" s="269"/>
      <c r="AA63" s="269"/>
      <c r="AB63" s="269"/>
      <c r="AC63" s="269"/>
      <c r="AD63" s="269"/>
      <c r="AE63" s="269"/>
      <c r="AF63" s="269"/>
      <c r="AG63" s="208"/>
      <c r="AH63" s="208"/>
      <c r="AI63" s="208"/>
      <c r="AJ63" s="208"/>
      <c r="AK63" s="208"/>
      <c r="AL63" s="208"/>
      <c r="AM63" s="208"/>
      <c r="AN63" s="208"/>
      <c r="AO63" s="208"/>
      <c r="AP63" s="208"/>
      <c r="AQ63" s="208"/>
      <c r="AR63" s="208"/>
      <c r="AS63" s="208"/>
      <c r="AT63" s="208"/>
      <c r="AU63" s="208"/>
      <c r="AV63" s="208"/>
      <c r="AW63" s="208"/>
      <c r="AX63" s="208"/>
      <c r="AY63" s="208"/>
      <c r="AZ63" s="208"/>
      <c r="BA63" s="208"/>
      <c r="BB63" s="208"/>
      <c r="BC63" s="208"/>
      <c r="BD63" s="208"/>
      <c r="BE63" s="269"/>
    </row>
    <row r="64" spans="1:57" x14ac:dyDescent="0.2">
      <c r="A64" s="257"/>
      <c r="B64" s="257"/>
      <c r="C64" s="257"/>
      <c r="D64" s="257"/>
      <c r="E64" s="257"/>
      <c r="F64" s="30"/>
      <c r="G64" s="269"/>
      <c r="H64" s="293"/>
      <c r="I64" s="416" t="s">
        <v>354</v>
      </c>
      <c r="J64" s="774">
        <f>E19</f>
        <v>0.5</v>
      </c>
      <c r="K64" s="422">
        <f>IF(OR(Q38="",Q38=0),O38,Q38)</f>
        <v>0.5</v>
      </c>
      <c r="L64" s="602">
        <f>(K64/J64)*100-100</f>
        <v>0</v>
      </c>
      <c r="M64" s="417">
        <f>IF(OR(Q39="",Q39=0),O39,Q39)</f>
        <v>0.45</v>
      </c>
      <c r="N64" s="527">
        <f>M64/K64</f>
        <v>0.9</v>
      </c>
      <c r="O64" s="463" t="str">
        <f>IF(OR(IF(ISNUMBER(L64),IF(ABS(L64)&gt;10,1,0),0),IF(ISNUMBER(N64),IF(ABS(N64)&lt;0.9,1,0),0),IF(ISNUMBER(N64),IF(ABS(N64)&gt;0.98,1,0),0)),"&lt;= Err","")</f>
        <v/>
      </c>
      <c r="P64" s="267" t="s">
        <v>154</v>
      </c>
      <c r="Q64" s="297"/>
      <c r="R64" s="297"/>
      <c r="S64" s="297"/>
      <c r="T64" s="653"/>
      <c r="U64" s="269"/>
      <c r="V64" s="269"/>
      <c r="W64" s="269"/>
      <c r="X64" s="269"/>
      <c r="Y64" s="269"/>
      <c r="Z64" s="269"/>
      <c r="AA64" s="269"/>
      <c r="AB64" s="269"/>
      <c r="AC64" s="269"/>
      <c r="AD64" s="269"/>
      <c r="AE64" s="269"/>
      <c r="AF64" s="269"/>
      <c r="AG64" s="269"/>
      <c r="AH64" s="269"/>
      <c r="AI64" s="269"/>
      <c r="AJ64" s="269"/>
      <c r="AK64" s="269"/>
      <c r="AL64" s="269"/>
      <c r="AM64" s="269"/>
      <c r="AN64" s="269"/>
      <c r="AO64" s="269"/>
      <c r="AP64" s="269"/>
      <c r="AQ64" s="269"/>
      <c r="AR64" s="269"/>
      <c r="AS64" s="269"/>
      <c r="AT64" s="269"/>
      <c r="AU64" s="269"/>
      <c r="AV64" s="269"/>
      <c r="AW64" s="269"/>
      <c r="AX64" s="269"/>
      <c r="AY64" s="269"/>
      <c r="AZ64" s="269"/>
      <c r="BA64" s="269"/>
      <c r="BB64" s="269"/>
      <c r="BC64" s="269"/>
      <c r="BD64" s="269"/>
      <c r="BE64" s="269"/>
    </row>
    <row r="65" spans="1:57" x14ac:dyDescent="0.2">
      <c r="A65" s="257"/>
      <c r="B65" s="257"/>
      <c r="C65" s="257"/>
      <c r="D65" s="257"/>
      <c r="E65" s="257"/>
      <c r="F65" s="30"/>
      <c r="G65" s="269"/>
      <c r="H65" s="293"/>
      <c r="I65" s="418" t="s">
        <v>355</v>
      </c>
      <c r="J65" s="775"/>
      <c r="K65" s="423">
        <f>IF(OR(R38="",R38=0),O38,R38)</f>
        <v>0.5</v>
      </c>
      <c r="L65" s="603">
        <f>(K65/J64)*100-100</f>
        <v>0</v>
      </c>
      <c r="M65" s="419">
        <f>IF(OR(R39="",R39=0),O39,R39)</f>
        <v>0.45</v>
      </c>
      <c r="N65" s="528">
        <f>M65/K65</f>
        <v>0.9</v>
      </c>
      <c r="O65" s="463" t="str">
        <f>IF(OR(IF(ISNUMBER(L65),IF(ABS(L65)&gt;10,1,0),0),IF(ISNUMBER(N65),IF(ABS(N65)&lt;0.9,1,0),0),IF(ISNUMBER(N65),IF(ABS(N65)&gt;0.98,1,0),0)),"&lt;= Err","")</f>
        <v/>
      </c>
      <c r="P65" s="267" t="s">
        <v>155</v>
      </c>
      <c r="Q65" s="297"/>
      <c r="R65" s="297"/>
      <c r="S65" s="297"/>
      <c r="T65" s="653"/>
      <c r="U65" s="269"/>
      <c r="V65" s="269"/>
      <c r="W65" s="269"/>
      <c r="X65" s="269"/>
      <c r="Y65" s="269"/>
      <c r="Z65" s="269"/>
      <c r="AA65" s="269"/>
      <c r="AB65" s="269"/>
      <c r="AC65" s="269"/>
      <c r="AD65" s="269"/>
      <c r="AE65" s="269"/>
      <c r="AF65" s="269"/>
      <c r="AG65" s="269"/>
      <c r="AH65" s="269"/>
      <c r="AI65" s="269"/>
      <c r="AJ65" s="269"/>
      <c r="AK65" s="269"/>
      <c r="AL65" s="269"/>
      <c r="AM65" s="269"/>
      <c r="AN65" s="269"/>
      <c r="AO65" s="269"/>
      <c r="AP65" s="269"/>
      <c r="AQ65" s="269"/>
      <c r="AR65" s="269"/>
      <c r="AS65" s="269"/>
      <c r="AT65" s="269"/>
      <c r="AU65" s="269"/>
      <c r="AV65" s="269"/>
      <c r="AW65" s="269"/>
      <c r="AX65" s="269"/>
      <c r="AY65" s="269"/>
      <c r="AZ65" s="269"/>
      <c r="BA65" s="269"/>
      <c r="BB65" s="269"/>
      <c r="BC65" s="269"/>
      <c r="BD65" s="269"/>
      <c r="BE65" s="269"/>
    </row>
    <row r="66" spans="1:57" ht="13.5" thickBot="1" x14ac:dyDescent="0.25">
      <c r="A66" s="257"/>
      <c r="B66" s="257"/>
      <c r="C66" s="257"/>
      <c r="D66" s="257"/>
      <c r="E66" s="257"/>
      <c r="F66" s="30"/>
      <c r="G66" s="269"/>
      <c r="H66" s="293"/>
      <c r="I66" s="420" t="s">
        <v>230</v>
      </c>
      <c r="J66" s="776"/>
      <c r="K66" s="424">
        <f>IF(OR(S38="",S38=0),O38,S38)</f>
        <v>0.5</v>
      </c>
      <c r="L66" s="604">
        <f>(K66/J64)*100-100</f>
        <v>0</v>
      </c>
      <c r="M66" s="421">
        <f>IF(OR(S39="",S39=0),O39,S39)</f>
        <v>0.45</v>
      </c>
      <c r="N66" s="529">
        <f>M66/K66</f>
        <v>0.9</v>
      </c>
      <c r="O66" s="463" t="str">
        <f>IF(OR(IF(ISNUMBER(L66),IF(ABS(L66)&gt;10,1,0),0),IF(ISNUMBER(N66),IF(ABS(N66)&lt;0.9,1,0),0),IF(ISNUMBER(N66),IF(ABS(N66)&gt;0.98,1,0),0)),"&lt;= Err","")</f>
        <v/>
      </c>
      <c r="P66" s="267" t="s">
        <v>156</v>
      </c>
      <c r="Q66" s="297"/>
      <c r="R66" s="297"/>
      <c r="S66" s="297"/>
      <c r="T66" s="653"/>
      <c r="U66" s="269"/>
      <c r="V66" s="269"/>
      <c r="W66" s="269"/>
      <c r="X66" s="269"/>
      <c r="Y66" s="269"/>
      <c r="Z66" s="269"/>
      <c r="AA66" s="269"/>
      <c r="AB66" s="269"/>
      <c r="AC66" s="269"/>
      <c r="AD66" s="269"/>
      <c r="AE66" s="269"/>
      <c r="AF66" s="269"/>
      <c r="AG66" s="269"/>
      <c r="AH66" s="269"/>
      <c r="AI66" s="269"/>
      <c r="AJ66" s="269"/>
      <c r="AK66" s="269"/>
      <c r="AL66" s="269"/>
      <c r="AM66" s="269"/>
      <c r="AN66" s="269"/>
      <c r="AO66" s="269"/>
      <c r="AP66" s="269"/>
      <c r="AQ66" s="269"/>
      <c r="AR66" s="269"/>
      <c r="AS66" s="269"/>
      <c r="AT66" s="269"/>
      <c r="AU66" s="269"/>
      <c r="AV66" s="269"/>
      <c r="AW66" s="269"/>
      <c r="AX66" s="269"/>
      <c r="AY66" s="269"/>
      <c r="AZ66" s="269"/>
      <c r="BA66" s="269"/>
      <c r="BB66" s="269"/>
      <c r="BC66" s="269"/>
      <c r="BD66" s="269"/>
      <c r="BE66" s="269"/>
    </row>
    <row r="67" spans="1:57" x14ac:dyDescent="0.2">
      <c r="A67" s="257"/>
      <c r="B67" s="257"/>
      <c r="C67" s="257"/>
      <c r="D67" s="257"/>
      <c r="E67" s="257"/>
      <c r="F67" s="30"/>
      <c r="G67" s="269"/>
      <c r="H67" s="293"/>
      <c r="I67" s="294"/>
      <c r="J67" s="297"/>
      <c r="K67" s="297"/>
      <c r="L67" s="297"/>
      <c r="M67" s="297"/>
      <c r="N67" s="297"/>
      <c r="O67" s="297"/>
      <c r="P67" s="214"/>
      <c r="Q67" s="297"/>
      <c r="R67" s="297"/>
      <c r="S67" s="297"/>
      <c r="T67" s="653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69"/>
      <c r="AS67" s="269"/>
      <c r="AT67" s="269"/>
      <c r="AU67" s="269"/>
      <c r="AV67" s="269"/>
      <c r="AW67" s="269"/>
      <c r="AX67" s="269"/>
      <c r="AY67" s="269"/>
      <c r="AZ67" s="269"/>
      <c r="BA67" s="269"/>
      <c r="BB67" s="269"/>
      <c r="BC67" s="269"/>
      <c r="BD67" s="269"/>
      <c r="BE67" s="269"/>
    </row>
    <row r="68" spans="1:57" x14ac:dyDescent="0.2">
      <c r="A68" s="257"/>
      <c r="B68" s="257"/>
      <c r="C68" s="257"/>
      <c r="D68" s="257"/>
      <c r="E68" s="257"/>
      <c r="F68" s="30"/>
      <c r="G68" s="269"/>
      <c r="H68" s="293"/>
      <c r="I68" s="460" t="s">
        <v>400</v>
      </c>
      <c r="J68" s="297"/>
      <c r="K68" s="297"/>
      <c r="L68" s="297"/>
      <c r="M68" s="297"/>
      <c r="N68" s="297"/>
      <c r="O68" s="297"/>
      <c r="P68" s="214"/>
      <c r="Q68" s="297"/>
      <c r="R68" s="297"/>
      <c r="S68" s="297"/>
      <c r="T68" s="653"/>
      <c r="U68" s="269"/>
      <c r="V68" s="269"/>
      <c r="W68" s="269"/>
      <c r="X68" s="269"/>
      <c r="Y68" s="269"/>
      <c r="Z68" s="269"/>
      <c r="AA68" s="269"/>
      <c r="AB68" s="269"/>
      <c r="AC68" s="269"/>
      <c r="AD68" s="269"/>
      <c r="AE68" s="269"/>
      <c r="AF68" s="269"/>
      <c r="AG68" s="269"/>
      <c r="AH68" s="269"/>
      <c r="AI68" s="269"/>
      <c r="AJ68" s="269"/>
      <c r="AK68" s="269"/>
      <c r="AL68" s="269"/>
      <c r="AM68" s="269"/>
      <c r="AN68" s="269"/>
      <c r="AO68" s="269"/>
      <c r="AP68" s="269"/>
      <c r="AQ68" s="269"/>
      <c r="AR68" s="269"/>
      <c r="AS68" s="269"/>
      <c r="AT68" s="269"/>
      <c r="AU68" s="269"/>
      <c r="AV68" s="269"/>
      <c r="AW68" s="269"/>
      <c r="AX68" s="269"/>
      <c r="AY68" s="269"/>
      <c r="AZ68" s="269"/>
      <c r="BA68" s="269"/>
      <c r="BB68" s="269"/>
      <c r="BC68" s="269"/>
      <c r="BD68" s="269"/>
      <c r="BE68" s="269"/>
    </row>
    <row r="69" spans="1:57" ht="13.5" thickBot="1" x14ac:dyDescent="0.25">
      <c r="A69" s="655"/>
      <c r="B69" s="655"/>
      <c r="C69" s="655"/>
      <c r="D69" s="655"/>
      <c r="E69" s="655"/>
      <c r="F69" s="654"/>
      <c r="G69" s="269"/>
      <c r="H69" s="293"/>
      <c r="I69" s="294"/>
      <c r="J69" s="297"/>
      <c r="K69" s="297"/>
      <c r="L69" s="297"/>
      <c r="M69" s="297"/>
      <c r="N69" s="297"/>
      <c r="O69" s="297"/>
      <c r="P69" s="297"/>
      <c r="Q69" s="297"/>
      <c r="R69" s="297"/>
      <c r="S69" s="297"/>
      <c r="T69" s="653"/>
      <c r="U69" s="269"/>
      <c r="V69" s="269"/>
      <c r="W69" s="269"/>
      <c r="X69" s="269"/>
      <c r="Y69" s="269"/>
      <c r="Z69" s="269"/>
      <c r="AA69" s="269"/>
      <c r="AB69" s="269"/>
      <c r="AC69" s="269"/>
      <c r="AD69" s="269"/>
      <c r="AE69" s="269"/>
      <c r="AF69" s="269"/>
      <c r="AG69" s="269"/>
      <c r="AH69" s="269"/>
      <c r="AI69" s="269"/>
      <c r="AJ69" s="269"/>
      <c r="AK69" s="269"/>
      <c r="AL69" s="269"/>
      <c r="AM69" s="269"/>
      <c r="AN69" s="269"/>
      <c r="AO69" s="269"/>
      <c r="AP69" s="269"/>
      <c r="AQ69" s="269"/>
      <c r="AR69" s="269"/>
      <c r="AS69" s="269"/>
      <c r="AT69" s="269"/>
      <c r="AU69" s="269"/>
      <c r="AV69" s="269"/>
      <c r="AW69" s="269"/>
      <c r="AX69" s="269"/>
      <c r="AY69" s="269"/>
      <c r="AZ69" s="269"/>
      <c r="BA69" s="269"/>
      <c r="BB69" s="269"/>
      <c r="BC69" s="269"/>
      <c r="BD69" s="269"/>
      <c r="BE69" s="269"/>
    </row>
    <row r="70" spans="1:57" ht="16.5" thickBot="1" x14ac:dyDescent="0.25">
      <c r="A70" s="655"/>
      <c r="B70" s="655"/>
      <c r="C70" s="655"/>
      <c r="D70" s="655"/>
      <c r="E70" s="655"/>
      <c r="F70" s="654"/>
      <c r="G70" s="269"/>
      <c r="H70" s="293"/>
      <c r="I70" s="332"/>
      <c r="J70" s="413" t="s">
        <v>378</v>
      </c>
      <c r="K70" s="414" t="s">
        <v>394</v>
      </c>
      <c r="L70" s="414" t="s">
        <v>369</v>
      </c>
      <c r="M70" s="414" t="s">
        <v>380</v>
      </c>
      <c r="N70" s="415" t="s">
        <v>377</v>
      </c>
      <c r="O70" s="297"/>
      <c r="P70" s="297"/>
      <c r="Q70" s="297"/>
      <c r="R70" s="297"/>
      <c r="S70" s="297"/>
      <c r="T70" s="653"/>
      <c r="U70" s="269"/>
      <c r="V70" s="269"/>
      <c r="W70" s="269"/>
      <c r="X70" s="269"/>
      <c r="Y70" s="269"/>
      <c r="Z70" s="269"/>
      <c r="AA70" s="269"/>
      <c r="AB70" s="269"/>
      <c r="AC70" s="269"/>
      <c r="AD70" s="269"/>
      <c r="AE70" s="269"/>
      <c r="AF70" s="269"/>
      <c r="AG70" s="269"/>
      <c r="AH70" s="269"/>
      <c r="AI70" s="269"/>
      <c r="AJ70" s="269"/>
      <c r="AK70" s="269"/>
      <c r="AL70" s="269"/>
      <c r="AM70" s="269"/>
      <c r="AN70" s="269"/>
      <c r="AO70" s="269"/>
      <c r="AP70" s="269"/>
      <c r="AQ70" s="269"/>
      <c r="AR70" s="269"/>
      <c r="AS70" s="269"/>
      <c r="AT70" s="269"/>
      <c r="AU70" s="269"/>
      <c r="AV70" s="269"/>
      <c r="AW70" s="269"/>
      <c r="AX70" s="269"/>
      <c r="AY70" s="269"/>
      <c r="AZ70" s="269"/>
      <c r="BA70" s="269"/>
      <c r="BB70" s="269"/>
      <c r="BC70" s="269"/>
      <c r="BD70" s="269"/>
      <c r="BE70" s="269"/>
    </row>
    <row r="71" spans="1:57" ht="13.5" thickBot="1" x14ac:dyDescent="0.25">
      <c r="A71" s="655"/>
      <c r="B71" s="655"/>
      <c r="C71" s="655"/>
      <c r="D71" s="655"/>
      <c r="E71" s="655"/>
      <c r="F71" s="654"/>
      <c r="G71" s="269"/>
      <c r="H71" s="293"/>
      <c r="I71" s="301"/>
      <c r="J71" s="425">
        <f>E21</f>
        <v>15</v>
      </c>
      <c r="K71" s="426">
        <f>IF(OR(Q48="",Q48=0),O48,Q48)</f>
        <v>15</v>
      </c>
      <c r="L71" s="605">
        <f>(K71/J71)*100-100</f>
        <v>0</v>
      </c>
      <c r="M71" s="426">
        <f>IF(OR(Q49="",Q49=0),O49,Q49)</f>
        <v>13.5</v>
      </c>
      <c r="N71" s="530">
        <f>M71/K71</f>
        <v>0.9</v>
      </c>
      <c r="O71" s="463" t="str">
        <f>IF(OR(IF(ISNUMBER(L71),IF(ABS(L71)&gt;10,1,0),0),IF(ISNUMBER(N71),IF(ABS(N71)&lt;0.9,1,0),0),IF(ISNUMBER(N71),IF(ABS(N71)&gt;0.98,1,0),0)),"&lt;= Err","")</f>
        <v/>
      </c>
      <c r="P71" s="297"/>
      <c r="Q71" s="297"/>
      <c r="R71" s="297"/>
      <c r="S71" s="297"/>
      <c r="T71" s="653"/>
      <c r="U71" s="269"/>
      <c r="V71" s="269"/>
      <c r="W71" s="269"/>
      <c r="X71" s="269"/>
      <c r="Y71" s="269"/>
      <c r="Z71" s="269"/>
      <c r="AA71" s="269"/>
      <c r="AB71" s="269"/>
      <c r="AC71" s="269"/>
      <c r="AD71" s="269"/>
      <c r="AE71" s="269"/>
      <c r="AF71" s="269"/>
      <c r="AG71" s="269"/>
      <c r="AH71" s="269"/>
      <c r="AI71" s="269"/>
      <c r="AJ71" s="269"/>
      <c r="AK71" s="269"/>
      <c r="AL71" s="269"/>
      <c r="AM71" s="269"/>
      <c r="AN71" s="269"/>
      <c r="AO71" s="269"/>
      <c r="AP71" s="269"/>
      <c r="AQ71" s="269"/>
      <c r="AR71" s="269"/>
      <c r="AS71" s="269"/>
      <c r="AT71" s="269"/>
      <c r="AU71" s="269"/>
      <c r="AV71" s="269"/>
      <c r="AW71" s="269"/>
      <c r="AX71" s="269"/>
      <c r="AY71" s="269"/>
      <c r="AZ71" s="269"/>
      <c r="BA71" s="269"/>
      <c r="BB71" s="269"/>
      <c r="BC71" s="269"/>
      <c r="BD71" s="269"/>
      <c r="BE71" s="269"/>
    </row>
    <row r="72" spans="1:57" x14ac:dyDescent="0.2">
      <c r="A72" s="655"/>
      <c r="B72" s="655"/>
      <c r="C72" s="655"/>
      <c r="D72" s="655"/>
      <c r="E72" s="655"/>
      <c r="F72" s="654"/>
      <c r="G72" s="269"/>
      <c r="H72" s="293"/>
      <c r="I72" s="46"/>
      <c r="J72" s="461"/>
      <c r="K72" s="462"/>
      <c r="L72" s="335"/>
      <c r="M72" s="462"/>
      <c r="N72" s="335"/>
      <c r="O72" s="463"/>
      <c r="P72" s="297"/>
      <c r="Q72" s="297"/>
      <c r="R72" s="297"/>
      <c r="S72" s="297"/>
      <c r="T72" s="653"/>
      <c r="U72" s="269"/>
      <c r="V72" s="269"/>
      <c r="W72" s="269"/>
      <c r="X72" s="269"/>
      <c r="Y72" s="269"/>
      <c r="Z72" s="269"/>
      <c r="AA72" s="269"/>
      <c r="AB72" s="269"/>
      <c r="AC72" s="269"/>
      <c r="AD72" s="269"/>
      <c r="AE72" s="269"/>
      <c r="AF72" s="269"/>
      <c r="AG72" s="269"/>
      <c r="AH72" s="269"/>
      <c r="AI72" s="269"/>
      <c r="AJ72" s="269"/>
      <c r="AK72" s="269"/>
      <c r="AL72" s="269"/>
      <c r="AM72" s="269"/>
      <c r="AN72" s="269"/>
      <c r="AO72" s="269"/>
      <c r="AP72" s="269"/>
      <c r="AQ72" s="269"/>
      <c r="AR72" s="269"/>
      <c r="AS72" s="269"/>
      <c r="AT72" s="269"/>
      <c r="AU72" s="269"/>
      <c r="AV72" s="269"/>
      <c r="AW72" s="269"/>
      <c r="AX72" s="269"/>
      <c r="AY72" s="269"/>
      <c r="AZ72" s="269"/>
      <c r="BA72" s="269"/>
      <c r="BB72" s="269"/>
      <c r="BC72" s="269"/>
      <c r="BD72" s="269"/>
      <c r="BE72" s="269"/>
    </row>
    <row r="73" spans="1:57" x14ac:dyDescent="0.2">
      <c r="A73" s="655"/>
      <c r="B73" s="655"/>
      <c r="C73" s="655"/>
      <c r="D73" s="655"/>
      <c r="E73" s="655"/>
      <c r="F73" s="654"/>
      <c r="G73" s="269"/>
      <c r="H73" s="293"/>
      <c r="I73" s="457" t="s">
        <v>404</v>
      </c>
      <c r="J73" s="461"/>
      <c r="K73" s="462"/>
      <c r="L73" s="335"/>
      <c r="M73" s="462"/>
      <c r="N73" s="335"/>
      <c r="O73" s="463"/>
      <c r="P73" s="297"/>
      <c r="Q73" s="297"/>
      <c r="R73" s="297"/>
      <c r="S73" s="297"/>
      <c r="T73" s="653"/>
      <c r="U73" s="269"/>
      <c r="V73" s="269"/>
      <c r="W73" s="269"/>
      <c r="X73" s="269"/>
      <c r="Y73" s="269"/>
      <c r="Z73" s="269"/>
      <c r="AA73" s="269"/>
      <c r="AB73" s="269"/>
      <c r="AC73" s="269"/>
      <c r="AD73" s="269"/>
      <c r="AE73" s="269"/>
      <c r="AF73" s="269"/>
      <c r="AG73" s="269"/>
      <c r="AH73" s="269"/>
      <c r="AI73" s="269"/>
      <c r="AJ73" s="269"/>
      <c r="AK73" s="269"/>
      <c r="AL73" s="269"/>
      <c r="AM73" s="269"/>
      <c r="AN73" s="269"/>
      <c r="AO73" s="269"/>
      <c r="AP73" s="269"/>
      <c r="AQ73" s="269"/>
      <c r="AR73" s="269"/>
      <c r="AS73" s="269"/>
      <c r="AT73" s="269"/>
      <c r="AU73" s="269"/>
      <c r="AV73" s="269"/>
      <c r="AW73" s="269"/>
      <c r="AX73" s="269"/>
      <c r="AY73" s="269"/>
      <c r="AZ73" s="269"/>
      <c r="BA73" s="269"/>
      <c r="BB73" s="269"/>
      <c r="BC73" s="269"/>
      <c r="BD73" s="269"/>
      <c r="BE73" s="269"/>
    </row>
    <row r="74" spans="1:57" ht="13.5" thickBot="1" x14ac:dyDescent="0.25">
      <c r="A74" s="655"/>
      <c r="B74" s="655"/>
      <c r="C74" s="655"/>
      <c r="D74" s="655"/>
      <c r="E74" s="655"/>
      <c r="F74" s="654"/>
      <c r="G74" s="269"/>
      <c r="H74" s="293"/>
      <c r="I74" s="46"/>
      <c r="J74" s="461"/>
      <c r="K74" s="462"/>
      <c r="L74" s="335"/>
      <c r="M74" s="462"/>
      <c r="N74" s="335"/>
      <c r="O74" s="463"/>
      <c r="P74" s="297"/>
      <c r="Q74" s="297"/>
      <c r="R74" s="297"/>
      <c r="S74" s="297"/>
      <c r="T74" s="653"/>
      <c r="U74" s="269"/>
      <c r="V74" s="269"/>
      <c r="W74" s="269"/>
      <c r="X74" s="269"/>
      <c r="Y74" s="269"/>
      <c r="Z74" s="269"/>
      <c r="AA74" s="269"/>
      <c r="AB74" s="269"/>
      <c r="AC74" s="269"/>
      <c r="AD74" s="269"/>
      <c r="AE74" s="269"/>
      <c r="AF74" s="269"/>
      <c r="AG74" s="269"/>
      <c r="AH74" s="269"/>
      <c r="AI74" s="269"/>
      <c r="AJ74" s="269"/>
      <c r="AK74" s="269"/>
      <c r="AL74" s="269"/>
      <c r="AM74" s="269"/>
      <c r="AN74" s="269"/>
      <c r="AO74" s="269"/>
      <c r="AP74" s="269"/>
      <c r="AQ74" s="269"/>
      <c r="AR74" s="269"/>
      <c r="AS74" s="269"/>
      <c r="AT74" s="269"/>
      <c r="AU74" s="269"/>
      <c r="AV74" s="269"/>
      <c r="AW74" s="269"/>
      <c r="AX74" s="269"/>
      <c r="AY74" s="269"/>
      <c r="AZ74" s="269"/>
      <c r="BA74" s="269"/>
      <c r="BB74" s="269"/>
      <c r="BC74" s="269"/>
      <c r="BD74" s="269"/>
      <c r="BE74" s="269"/>
    </row>
    <row r="75" spans="1:57" ht="15" thickBot="1" x14ac:dyDescent="0.25">
      <c r="A75" s="655"/>
      <c r="B75" s="655"/>
      <c r="C75" s="655"/>
      <c r="D75" s="655"/>
      <c r="E75" s="655"/>
      <c r="F75" s="654"/>
      <c r="G75" s="269"/>
      <c r="H75" s="293"/>
      <c r="I75" s="427" t="s">
        <v>336</v>
      </c>
      <c r="J75" s="428" t="s">
        <v>65</v>
      </c>
      <c r="K75" s="429" t="s">
        <v>402</v>
      </c>
      <c r="L75" s="429" t="s">
        <v>403</v>
      </c>
      <c r="M75" s="429" t="s">
        <v>397</v>
      </c>
      <c r="N75" s="430" t="s">
        <v>405</v>
      </c>
      <c r="O75" s="463"/>
      <c r="P75" s="297"/>
      <c r="Q75" s="297"/>
      <c r="R75" s="297"/>
      <c r="S75" s="297"/>
      <c r="T75" s="653"/>
      <c r="U75" s="269"/>
      <c r="V75" s="269"/>
      <c r="W75" s="269"/>
      <c r="X75" s="269"/>
      <c r="Y75" s="269"/>
      <c r="Z75" s="269"/>
      <c r="AA75" s="269"/>
      <c r="AB75" s="269"/>
      <c r="AC75" s="269"/>
      <c r="AD75" s="269"/>
      <c r="AE75" s="269"/>
      <c r="AF75" s="269"/>
      <c r="AG75" s="269"/>
      <c r="AH75" s="269"/>
      <c r="AI75" s="269"/>
      <c r="AJ75" s="269"/>
      <c r="AK75" s="269"/>
      <c r="AL75" s="269"/>
      <c r="AM75" s="269"/>
      <c r="AN75" s="269"/>
      <c r="AO75" s="269"/>
      <c r="AP75" s="269"/>
      <c r="AQ75" s="269"/>
      <c r="AR75" s="269"/>
      <c r="AS75" s="269"/>
      <c r="AT75" s="269"/>
      <c r="AU75" s="269"/>
      <c r="AV75" s="269"/>
      <c r="AW75" s="269"/>
      <c r="AX75" s="269"/>
      <c r="AY75" s="269"/>
      <c r="AZ75" s="269"/>
      <c r="BA75" s="269"/>
      <c r="BB75" s="269"/>
      <c r="BC75" s="269"/>
      <c r="BD75" s="269"/>
      <c r="BE75" s="269"/>
    </row>
    <row r="76" spans="1:57" x14ac:dyDescent="0.2">
      <c r="A76" s="655"/>
      <c r="B76" s="655"/>
      <c r="C76" s="655"/>
      <c r="D76" s="655"/>
      <c r="E76" s="655"/>
      <c r="F76" s="654"/>
      <c r="G76" s="269"/>
      <c r="H76" s="293"/>
      <c r="I76" s="431" t="s">
        <v>337</v>
      </c>
      <c r="J76" s="432">
        <f>E18</f>
        <v>6</v>
      </c>
      <c r="K76" s="433">
        <f>IF(OR(Q33="",Q33=0),O33,Q33)*SQRT(3)</f>
        <v>6</v>
      </c>
      <c r="L76" s="606">
        <f>(K76/J76)*100-100</f>
        <v>0</v>
      </c>
      <c r="M76" s="433">
        <f>IF(OR(Q34="",Q34=0),O34,Q34)*SQRT(3)</f>
        <v>5.4</v>
      </c>
      <c r="N76" s="434">
        <f>M76/K76</f>
        <v>0.9</v>
      </c>
      <c r="O76" s="463"/>
      <c r="P76" s="297"/>
      <c r="Q76" s="297"/>
      <c r="R76" s="297"/>
      <c r="S76" s="297"/>
      <c r="T76" s="653"/>
      <c r="U76" s="269"/>
      <c r="V76" s="269"/>
      <c r="W76" s="269"/>
      <c r="X76" s="269"/>
      <c r="Y76" s="269"/>
      <c r="Z76" s="269"/>
      <c r="AA76" s="269"/>
      <c r="AB76" s="269"/>
      <c r="AC76" s="269"/>
      <c r="AD76" s="269"/>
      <c r="AE76" s="269"/>
      <c r="AF76" s="269"/>
      <c r="AG76" s="269"/>
      <c r="AH76" s="269"/>
      <c r="AI76" s="269"/>
      <c r="AJ76" s="269"/>
      <c r="AK76" s="269"/>
      <c r="AL76" s="269"/>
      <c r="AM76" s="269"/>
      <c r="AN76" s="269"/>
      <c r="AO76" s="269"/>
      <c r="AP76" s="269"/>
      <c r="AQ76" s="269"/>
      <c r="AR76" s="269"/>
      <c r="AS76" s="269"/>
      <c r="AT76" s="269"/>
      <c r="AU76" s="269"/>
      <c r="AV76" s="269"/>
      <c r="AW76" s="269"/>
      <c r="AX76" s="269"/>
      <c r="AY76" s="269"/>
      <c r="AZ76" s="269"/>
      <c r="BA76" s="269"/>
      <c r="BB76" s="269"/>
      <c r="BC76" s="269"/>
      <c r="BD76" s="269"/>
      <c r="BE76" s="269"/>
    </row>
    <row r="77" spans="1:57" x14ac:dyDescent="0.2">
      <c r="A77" s="655"/>
      <c r="B77" s="655"/>
      <c r="C77" s="655"/>
      <c r="D77" s="655"/>
      <c r="E77" s="655"/>
      <c r="F77" s="654"/>
      <c r="G77" s="269"/>
      <c r="H77" s="293"/>
      <c r="I77" s="435" t="s">
        <v>338</v>
      </c>
      <c r="J77" s="436">
        <f>E19</f>
        <v>0.5</v>
      </c>
      <c r="K77" s="437">
        <f>IF(OR(Q38="",Q38=0),O38,Q38)</f>
        <v>0.5</v>
      </c>
      <c r="L77" s="607">
        <f>(K77/J77)*100-100</f>
        <v>0</v>
      </c>
      <c r="M77" s="437">
        <f>IF(OR(Q39="",Q39=0),O39,Q39)</f>
        <v>0.45</v>
      </c>
      <c r="N77" s="438">
        <f>M77/K77</f>
        <v>0.9</v>
      </c>
      <c r="O77" s="463"/>
      <c r="P77" s="297"/>
      <c r="Q77" s="297"/>
      <c r="R77" s="297"/>
      <c r="S77" s="297"/>
      <c r="T77" s="653"/>
      <c r="U77" s="269"/>
      <c r="V77" s="269"/>
      <c r="W77" s="269"/>
      <c r="X77" s="269"/>
      <c r="Y77" s="269"/>
      <c r="Z77" s="269"/>
      <c r="AA77" s="269"/>
      <c r="AB77" s="269"/>
      <c r="AC77" s="269"/>
      <c r="AD77" s="269"/>
      <c r="AE77" s="269"/>
      <c r="AF77" s="269"/>
      <c r="AG77" s="269"/>
      <c r="AH77" s="269"/>
      <c r="AI77" s="269"/>
      <c r="AJ77" s="269"/>
      <c r="AK77" s="269"/>
      <c r="AL77" s="269"/>
      <c r="AM77" s="269"/>
      <c r="AN77" s="269"/>
      <c r="AO77" s="269"/>
      <c r="AP77" s="269"/>
      <c r="AQ77" s="269"/>
      <c r="AR77" s="269"/>
      <c r="AS77" s="269"/>
      <c r="AT77" s="269"/>
      <c r="AU77" s="269"/>
      <c r="AV77" s="269"/>
      <c r="AW77" s="269"/>
      <c r="AX77" s="269"/>
      <c r="AY77" s="269"/>
      <c r="AZ77" s="269"/>
      <c r="BA77" s="269"/>
      <c r="BB77" s="269"/>
      <c r="BC77" s="269"/>
      <c r="BD77" s="269"/>
      <c r="BE77" s="269"/>
    </row>
    <row r="78" spans="1:57" ht="13.5" thickBot="1" x14ac:dyDescent="0.25">
      <c r="A78" s="655"/>
      <c r="B78" s="655"/>
      <c r="C78" s="655"/>
      <c r="D78" s="655"/>
      <c r="E78" s="655"/>
      <c r="F78" s="654"/>
      <c r="G78" s="269"/>
      <c r="H78" s="293"/>
      <c r="I78" s="439" t="s">
        <v>339</v>
      </c>
      <c r="J78" s="440">
        <f>E21</f>
        <v>15</v>
      </c>
      <c r="K78" s="441">
        <f>IF(OR(Q48="",Q48=0),O48,Q48)</f>
        <v>15</v>
      </c>
      <c r="L78" s="608">
        <f>(K78/J78)*100-100</f>
        <v>0</v>
      </c>
      <c r="M78" s="441">
        <f>IF(OR(Q49="",Q49=0),O49,Q49)</f>
        <v>13.5</v>
      </c>
      <c r="N78" s="442">
        <f>M78/K78</f>
        <v>0.9</v>
      </c>
      <c r="O78" s="463"/>
      <c r="P78" s="297"/>
      <c r="Q78" s="297"/>
      <c r="R78" s="297"/>
      <c r="S78" s="297"/>
      <c r="T78" s="653"/>
      <c r="U78" s="269"/>
      <c r="V78" s="269"/>
      <c r="W78" s="269"/>
      <c r="X78" s="269"/>
      <c r="Y78" s="269"/>
      <c r="Z78" s="269"/>
      <c r="AA78" s="269"/>
      <c r="AB78" s="269"/>
      <c r="AC78" s="269"/>
      <c r="AD78" s="269"/>
      <c r="AE78" s="269"/>
      <c r="AF78" s="269"/>
      <c r="AG78" s="269"/>
      <c r="AH78" s="269"/>
      <c r="AI78" s="269"/>
      <c r="AJ78" s="269"/>
      <c r="AK78" s="269"/>
      <c r="AL78" s="269"/>
      <c r="AM78" s="269"/>
      <c r="AN78" s="269"/>
      <c r="AO78" s="269"/>
      <c r="AP78" s="269"/>
      <c r="AQ78" s="269"/>
      <c r="AR78" s="269"/>
      <c r="AS78" s="269"/>
      <c r="AT78" s="269"/>
      <c r="AU78" s="269"/>
      <c r="AV78" s="269"/>
      <c r="AW78" s="269"/>
      <c r="AX78" s="269"/>
      <c r="AY78" s="269"/>
      <c r="AZ78" s="269"/>
      <c r="BA78" s="269"/>
      <c r="BB78" s="269"/>
      <c r="BC78" s="269"/>
      <c r="BD78" s="269"/>
      <c r="BE78" s="269"/>
    </row>
    <row r="79" spans="1:57" x14ac:dyDescent="0.2">
      <c r="A79" s="655"/>
      <c r="B79" s="655"/>
      <c r="C79" s="655"/>
      <c r="D79" s="655"/>
      <c r="E79" s="655"/>
      <c r="F79" s="654"/>
      <c r="G79" s="269"/>
      <c r="H79" s="293"/>
      <c r="I79" s="46"/>
      <c r="J79" s="461"/>
      <c r="K79" s="462"/>
      <c r="L79" s="335"/>
      <c r="M79" s="462"/>
      <c r="N79" s="335"/>
      <c r="O79" s="463"/>
      <c r="P79" s="297"/>
      <c r="Q79" s="297"/>
      <c r="R79" s="297"/>
      <c r="S79" s="297"/>
      <c r="T79" s="653"/>
      <c r="U79" s="269"/>
      <c r="V79" s="269"/>
      <c r="W79" s="269"/>
      <c r="X79" s="269"/>
      <c r="Y79" s="269"/>
      <c r="Z79" s="269"/>
      <c r="AA79" s="269"/>
      <c r="AB79" s="269"/>
      <c r="AC79" s="269"/>
      <c r="AD79" s="269"/>
      <c r="AE79" s="269"/>
      <c r="AF79" s="269"/>
      <c r="AG79" s="269"/>
      <c r="AH79" s="269"/>
      <c r="AI79" s="269"/>
      <c r="AJ79" s="269"/>
      <c r="AK79" s="269"/>
      <c r="AL79" s="269"/>
      <c r="AM79" s="269"/>
      <c r="AN79" s="269"/>
      <c r="AO79" s="269"/>
      <c r="AP79" s="269"/>
      <c r="AQ79" s="269"/>
      <c r="AR79" s="269"/>
      <c r="AS79" s="269"/>
      <c r="AT79" s="269"/>
      <c r="AU79" s="269"/>
      <c r="AV79" s="269"/>
      <c r="AW79" s="269"/>
      <c r="AX79" s="269"/>
      <c r="AY79" s="269"/>
      <c r="AZ79" s="269"/>
      <c r="BA79" s="269"/>
      <c r="BB79" s="269"/>
      <c r="BC79" s="269"/>
      <c r="BD79" s="269"/>
      <c r="BE79" s="269"/>
    </row>
    <row r="80" spans="1:57" x14ac:dyDescent="0.2">
      <c r="A80" s="655"/>
      <c r="B80" s="655"/>
      <c r="C80" s="655"/>
      <c r="D80" s="655"/>
      <c r="E80" s="655"/>
      <c r="F80" s="654"/>
      <c r="G80" s="269"/>
      <c r="H80" s="293"/>
      <c r="I80" s="460" t="s">
        <v>398</v>
      </c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653"/>
      <c r="U80" s="269"/>
      <c r="V80" s="269"/>
      <c r="W80" s="269"/>
      <c r="X80" s="269"/>
      <c r="Y80" s="269"/>
      <c r="Z80" s="269"/>
      <c r="AA80" s="269"/>
      <c r="AB80" s="269"/>
      <c r="AC80" s="269"/>
      <c r="AD80" s="269"/>
      <c r="AE80" s="269"/>
      <c r="AF80" s="269"/>
      <c r="AG80" s="269"/>
      <c r="AH80" s="269"/>
      <c r="AI80" s="269"/>
      <c r="AJ80" s="269"/>
      <c r="AK80" s="269"/>
      <c r="AL80" s="269"/>
      <c r="AM80" s="269"/>
      <c r="AN80" s="269"/>
      <c r="AO80" s="269"/>
      <c r="AP80" s="269"/>
      <c r="AQ80" s="269"/>
      <c r="AR80" s="269"/>
      <c r="AS80" s="269"/>
      <c r="AT80" s="269"/>
      <c r="AU80" s="269"/>
      <c r="AV80" s="269"/>
      <c r="AW80" s="269"/>
      <c r="AX80" s="269"/>
      <c r="AY80" s="269"/>
      <c r="AZ80" s="269"/>
      <c r="BA80" s="269"/>
      <c r="BB80" s="269"/>
      <c r="BC80" s="269"/>
      <c r="BD80" s="269"/>
      <c r="BE80" s="269"/>
    </row>
    <row r="81" spans="1:57" ht="13.5" thickBot="1" x14ac:dyDescent="0.25">
      <c r="A81" s="655"/>
      <c r="B81" s="655"/>
      <c r="C81" s="655"/>
      <c r="D81" s="655"/>
      <c r="E81" s="655"/>
      <c r="F81" s="654"/>
      <c r="G81" s="269"/>
      <c r="H81" s="293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653"/>
      <c r="U81" s="269"/>
      <c r="V81" s="269"/>
      <c r="W81" s="269"/>
      <c r="X81" s="269"/>
      <c r="Y81" s="269"/>
      <c r="Z81" s="269"/>
      <c r="AA81" s="269"/>
      <c r="AB81" s="269"/>
      <c r="AC81" s="269"/>
      <c r="AD81" s="269"/>
      <c r="AE81" s="269"/>
      <c r="AF81" s="269"/>
      <c r="AG81" s="269"/>
      <c r="AH81" s="269"/>
      <c r="AI81" s="269"/>
      <c r="AJ81" s="269"/>
      <c r="AK81" s="269"/>
      <c r="AL81" s="269"/>
      <c r="AM81" s="269"/>
      <c r="AN81" s="269"/>
      <c r="AO81" s="269"/>
      <c r="AP81" s="269"/>
      <c r="AQ81" s="269"/>
      <c r="AR81" s="269"/>
      <c r="AS81" s="269"/>
      <c r="AT81" s="269"/>
      <c r="AU81" s="269"/>
      <c r="AV81" s="269"/>
      <c r="AW81" s="269"/>
      <c r="AX81" s="269"/>
      <c r="AY81" s="269"/>
      <c r="AZ81" s="269"/>
      <c r="BA81" s="269"/>
      <c r="BB81" s="269"/>
      <c r="BC81" s="269"/>
      <c r="BD81" s="269"/>
      <c r="BE81" s="269"/>
    </row>
    <row r="82" spans="1:57" ht="27.75" thickBot="1" x14ac:dyDescent="0.25">
      <c r="A82" s="655"/>
      <c r="B82" s="655"/>
      <c r="C82" s="655"/>
      <c r="D82" s="655"/>
      <c r="E82" s="655"/>
      <c r="F82" s="654"/>
      <c r="G82" s="269"/>
      <c r="H82" s="257"/>
      <c r="I82" s="427" t="s">
        <v>62</v>
      </c>
      <c r="J82" s="428" t="s">
        <v>406</v>
      </c>
      <c r="K82" s="429" t="s">
        <v>407</v>
      </c>
      <c r="L82" s="429" t="s">
        <v>415</v>
      </c>
      <c r="M82" s="429" t="s">
        <v>408</v>
      </c>
      <c r="N82" s="429" t="s">
        <v>409</v>
      </c>
      <c r="O82" s="429" t="s">
        <v>410</v>
      </c>
      <c r="P82" s="430" t="s">
        <v>416</v>
      </c>
      <c r="Q82" s="257"/>
      <c r="R82" s="257"/>
      <c r="S82" s="257"/>
      <c r="T82" s="653"/>
      <c r="U82" s="269"/>
      <c r="V82" s="269"/>
      <c r="W82" s="269"/>
      <c r="X82" s="269"/>
      <c r="Y82" s="269"/>
      <c r="Z82" s="269"/>
      <c r="AA82" s="269"/>
      <c r="AB82" s="269"/>
      <c r="AC82" s="269"/>
      <c r="AD82" s="269"/>
      <c r="AE82" s="269"/>
      <c r="AF82" s="269"/>
      <c r="AG82" s="269"/>
      <c r="AH82" s="269"/>
      <c r="AI82" s="269"/>
      <c r="AJ82" s="269"/>
      <c r="AK82" s="269"/>
      <c r="AL82" s="269"/>
      <c r="AM82" s="269"/>
      <c r="AN82" s="269"/>
      <c r="AO82" s="269"/>
      <c r="AP82" s="269"/>
      <c r="AQ82" s="269"/>
      <c r="AR82" s="269"/>
      <c r="AS82" s="269"/>
      <c r="AT82" s="269"/>
      <c r="AU82" s="269"/>
      <c r="AV82" s="269"/>
      <c r="AW82" s="269"/>
      <c r="AX82" s="269"/>
      <c r="AY82" s="269"/>
      <c r="AZ82" s="269"/>
      <c r="BA82" s="269"/>
      <c r="BB82" s="269"/>
      <c r="BC82" s="269"/>
      <c r="BD82" s="269"/>
      <c r="BE82" s="269"/>
    </row>
    <row r="83" spans="1:57" x14ac:dyDescent="0.2">
      <c r="A83" s="655"/>
      <c r="B83" s="655"/>
      <c r="C83" s="655"/>
      <c r="D83" s="655"/>
      <c r="E83" s="655"/>
      <c r="F83" s="654"/>
      <c r="G83" s="269"/>
      <c r="H83" s="257"/>
      <c r="I83" s="431">
        <v>1</v>
      </c>
      <c r="J83" s="443">
        <f>X36</f>
        <v>0.5</v>
      </c>
      <c r="K83" s="444">
        <f>L41-IF(OR(Q41="",Q41=0),O41,Q41)</f>
        <v>0.5</v>
      </c>
      <c r="L83" s="607">
        <f>(K83/J83)*100-100</f>
        <v>0</v>
      </c>
      <c r="M83" s="444">
        <f>L41</f>
        <v>2</v>
      </c>
      <c r="N83" s="765" t="s">
        <v>56</v>
      </c>
      <c r="O83" s="765" t="s">
        <v>56</v>
      </c>
      <c r="P83" s="767" t="s">
        <v>56</v>
      </c>
      <c r="Q83" s="172" t="str">
        <f>IF(ISNUMBER(L83),IF(ABS(L83)&gt;10,"&lt;= Err",""),"&lt;= Err")</f>
        <v/>
      </c>
      <c r="R83" s="257"/>
      <c r="S83" s="257"/>
      <c r="T83" s="653"/>
      <c r="U83" s="269"/>
      <c r="V83" s="269"/>
      <c r="W83" s="269"/>
      <c r="X83" s="269"/>
      <c r="Y83" s="269"/>
      <c r="Z83" s="269"/>
      <c r="AA83" s="269"/>
      <c r="AB83" s="269"/>
      <c r="AC83" s="269"/>
      <c r="AD83" s="269"/>
      <c r="AE83" s="269"/>
      <c r="AF83" s="269"/>
      <c r="AG83" s="269"/>
      <c r="AH83" s="269"/>
      <c r="AI83" s="269"/>
      <c r="AJ83" s="269"/>
      <c r="AK83" s="269"/>
      <c r="AL83" s="269"/>
      <c r="AM83" s="269"/>
      <c r="AN83" s="269"/>
      <c r="AO83" s="269"/>
      <c r="AP83" s="269"/>
      <c r="AQ83" s="269"/>
      <c r="AR83" s="269"/>
      <c r="AS83" s="269"/>
      <c r="AT83" s="269"/>
      <c r="AU83" s="269"/>
      <c r="AV83" s="269"/>
      <c r="AW83" s="269"/>
      <c r="AX83" s="269"/>
      <c r="AY83" s="269"/>
      <c r="AZ83" s="269"/>
      <c r="BA83" s="269"/>
      <c r="BB83" s="269"/>
      <c r="BC83" s="269"/>
      <c r="BD83" s="269"/>
      <c r="BE83" s="269"/>
    </row>
    <row r="84" spans="1:57" x14ac:dyDescent="0.2">
      <c r="A84" s="655"/>
      <c r="B84" s="655"/>
      <c r="C84" s="655"/>
      <c r="D84" s="655"/>
      <c r="E84" s="655"/>
      <c r="F84" s="654"/>
      <c r="G84" s="269"/>
      <c r="H84" s="257"/>
      <c r="I84" s="435">
        <v>2</v>
      </c>
      <c r="J84" s="445">
        <f>Y36</f>
        <v>0.5</v>
      </c>
      <c r="K84" s="437">
        <f>L42-IF(OR(Q42="",Q42=0),O42,Q42)</f>
        <v>0.5</v>
      </c>
      <c r="L84" s="609">
        <f>(K84/J84)*100-100</f>
        <v>0</v>
      </c>
      <c r="M84" s="437">
        <f>L42</f>
        <v>10</v>
      </c>
      <c r="N84" s="766"/>
      <c r="O84" s="766"/>
      <c r="P84" s="768"/>
      <c r="Q84" s="172" t="str">
        <f>IF(ISNUMBER(L84),IF(ABS(L84)&gt;10,"&lt;= Err",""),"&lt;= Err")</f>
        <v/>
      </c>
      <c r="R84" s="257"/>
      <c r="S84" s="257"/>
      <c r="T84" s="653"/>
      <c r="U84" s="269"/>
      <c r="V84" s="269"/>
      <c r="W84" s="269"/>
      <c r="X84" s="269"/>
      <c r="Y84" s="269"/>
      <c r="Z84" s="269"/>
      <c r="AA84" s="269"/>
      <c r="AB84" s="269"/>
      <c r="AC84" s="269"/>
      <c r="AD84" s="269"/>
      <c r="AE84" s="269"/>
      <c r="AF84" s="269"/>
      <c r="AG84" s="269"/>
      <c r="AH84" s="269"/>
      <c r="AI84" s="269"/>
      <c r="AJ84" s="269"/>
      <c r="AK84" s="269"/>
      <c r="AL84" s="269"/>
      <c r="AM84" s="269"/>
      <c r="AN84" s="269"/>
      <c r="AO84" s="269"/>
      <c r="AP84" s="269"/>
      <c r="AQ84" s="269"/>
      <c r="AR84" s="269"/>
      <c r="AS84" s="269"/>
      <c r="AT84" s="269"/>
      <c r="AU84" s="269"/>
      <c r="AV84" s="269"/>
      <c r="AW84" s="269"/>
      <c r="AX84" s="269"/>
      <c r="AY84" s="269"/>
      <c r="AZ84" s="269"/>
      <c r="BA84" s="269"/>
      <c r="BB84" s="269"/>
      <c r="BC84" s="269"/>
      <c r="BD84" s="269"/>
      <c r="BE84" s="269"/>
    </row>
    <row r="85" spans="1:57" x14ac:dyDescent="0.2">
      <c r="A85" s="655"/>
      <c r="B85" s="655"/>
      <c r="C85" s="655"/>
      <c r="D85" s="655"/>
      <c r="E85" s="655"/>
      <c r="F85" s="654"/>
      <c r="G85" s="269"/>
      <c r="H85" s="257"/>
      <c r="I85" s="435">
        <v>3</v>
      </c>
      <c r="J85" s="445">
        <f>Z36</f>
        <v>0.57500000000000007</v>
      </c>
      <c r="K85" s="437">
        <f>L43-IF(OR(Q43="",Q43=0),O43,Q43)</f>
        <v>0.57499999999999929</v>
      </c>
      <c r="L85" s="609">
        <f>(K85/J85)*100-100</f>
        <v>-1.2789769243681803E-13</v>
      </c>
      <c r="M85" s="437">
        <f>L43</f>
        <v>12</v>
      </c>
      <c r="N85" s="769">
        <f>E20</f>
        <v>0.1</v>
      </c>
      <c r="O85" s="769">
        <f>(K86-K85)/(M86-M85)</f>
        <v>0.10000000000000053</v>
      </c>
      <c r="P85" s="772">
        <f>(O85/N85)*100-100</f>
        <v>5.4001247917767614E-13</v>
      </c>
      <c r="Q85" s="764" t="str">
        <f>IF(OR(IF(ISNUMBER(L86),IF(ABS(L86)&gt;10,1,0),0),IF(ISNUMBER(L85),IF(ABS(L85)&gt;10,1,0),0),IF(ISNUMBER(P85),IF(ABS(P85)&gt;10,1,0),0)),"&lt;= Err","")</f>
        <v/>
      </c>
      <c r="R85" s="257"/>
      <c r="S85" s="257"/>
      <c r="T85" s="653"/>
      <c r="U85" s="269"/>
      <c r="V85" s="269"/>
      <c r="W85" s="269"/>
      <c r="X85" s="269"/>
      <c r="Y85" s="269"/>
      <c r="Z85" s="269"/>
      <c r="AA85" s="269"/>
      <c r="AB85" s="269"/>
      <c r="AC85" s="269"/>
      <c r="AD85" s="269"/>
      <c r="AE85" s="269"/>
      <c r="AF85" s="269"/>
      <c r="AG85" s="269"/>
      <c r="AH85" s="269"/>
      <c r="AI85" s="269"/>
      <c r="AJ85" s="269"/>
      <c r="AK85" s="269"/>
      <c r="AL85" s="269"/>
      <c r="AM85" s="269"/>
      <c r="AN85" s="269"/>
      <c r="AO85" s="269"/>
      <c r="AP85" s="269"/>
      <c r="AQ85" s="269"/>
      <c r="AR85" s="269"/>
      <c r="AS85" s="269"/>
      <c r="AT85" s="269"/>
      <c r="AU85" s="269"/>
      <c r="AV85" s="269"/>
      <c r="AW85" s="269"/>
      <c r="AX85" s="269"/>
      <c r="AY85" s="269"/>
      <c r="AZ85" s="269"/>
      <c r="BA85" s="269"/>
      <c r="BB85" s="269"/>
      <c r="BC85" s="269"/>
      <c r="BD85" s="269"/>
      <c r="BE85" s="269"/>
    </row>
    <row r="86" spans="1:57" ht="13.5" thickBot="1" x14ac:dyDescent="0.25">
      <c r="A86" s="655"/>
      <c r="B86" s="655"/>
      <c r="C86" s="655"/>
      <c r="D86" s="655"/>
      <c r="E86" s="655"/>
      <c r="F86" s="654"/>
      <c r="G86" s="269"/>
      <c r="H86" s="257"/>
      <c r="I86" s="439">
        <v>4</v>
      </c>
      <c r="J86" s="446">
        <f>AA36</f>
        <v>0.77500000000000002</v>
      </c>
      <c r="K86" s="441">
        <f>L44-IF(OR(Q44="",Q44=0),O44,Q44)</f>
        <v>0.77500000000000036</v>
      </c>
      <c r="L86" s="610">
        <f>(K86/J86)*100-100</f>
        <v>0</v>
      </c>
      <c r="M86" s="441">
        <f>L44</f>
        <v>14</v>
      </c>
      <c r="N86" s="770"/>
      <c r="O86" s="771"/>
      <c r="P86" s="773"/>
      <c r="Q86" s="764"/>
      <c r="R86" s="257"/>
      <c r="S86" s="257"/>
      <c r="T86" s="653"/>
      <c r="U86" s="269"/>
      <c r="V86" s="269"/>
      <c r="W86" s="269"/>
      <c r="X86" s="269"/>
      <c r="Y86" s="269"/>
      <c r="Z86" s="269"/>
      <c r="AA86" s="269"/>
      <c r="AB86" s="269"/>
      <c r="AC86" s="269"/>
      <c r="AD86" s="269"/>
      <c r="AE86" s="269"/>
      <c r="AF86" s="269"/>
      <c r="AG86" s="269"/>
      <c r="AH86" s="269"/>
      <c r="AI86" s="269"/>
      <c r="AJ86" s="269"/>
      <c r="AK86" s="269"/>
      <c r="AL86" s="269"/>
      <c r="AM86" s="269"/>
      <c r="AN86" s="269"/>
      <c r="AO86" s="269"/>
      <c r="AP86" s="269"/>
      <c r="AQ86" s="269"/>
      <c r="AR86" s="269"/>
      <c r="AS86" s="269"/>
      <c r="AT86" s="269"/>
      <c r="AU86" s="269"/>
      <c r="AV86" s="269"/>
      <c r="AW86" s="269"/>
      <c r="AX86" s="269"/>
      <c r="AY86" s="269"/>
      <c r="AZ86" s="269"/>
      <c r="BA86" s="269"/>
      <c r="BB86" s="269"/>
      <c r="BC86" s="269"/>
      <c r="BD86" s="269"/>
      <c r="BE86" s="269"/>
    </row>
    <row r="87" spans="1:57" x14ac:dyDescent="0.2">
      <c r="A87" s="655"/>
      <c r="B87" s="655"/>
      <c r="C87" s="655"/>
      <c r="D87" s="655"/>
      <c r="E87" s="655"/>
      <c r="F87" s="654"/>
      <c r="G87" s="269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653"/>
      <c r="U87" s="269"/>
      <c r="V87" s="269"/>
      <c r="W87" s="269"/>
      <c r="X87" s="269"/>
      <c r="Y87" s="269"/>
      <c r="Z87" s="269"/>
      <c r="AA87" s="269"/>
      <c r="AB87" s="269"/>
      <c r="AC87" s="269"/>
      <c r="AD87" s="269"/>
      <c r="AE87" s="269"/>
      <c r="AF87" s="269"/>
      <c r="AG87" s="269"/>
      <c r="AH87" s="269"/>
      <c r="AI87" s="269"/>
      <c r="AJ87" s="269"/>
      <c r="AK87" s="269"/>
      <c r="AL87" s="269"/>
      <c r="AM87" s="269"/>
      <c r="AN87" s="269"/>
      <c r="AO87" s="269"/>
      <c r="AP87" s="269"/>
      <c r="AQ87" s="269"/>
      <c r="AR87" s="269"/>
      <c r="AS87" s="269"/>
      <c r="AT87" s="269"/>
      <c r="AU87" s="269"/>
      <c r="AV87" s="269"/>
      <c r="AW87" s="269"/>
      <c r="AX87" s="269"/>
      <c r="AY87" s="269"/>
      <c r="AZ87" s="269"/>
      <c r="BA87" s="269"/>
      <c r="BB87" s="269"/>
      <c r="BC87" s="269"/>
      <c r="BD87" s="269"/>
      <c r="BE87" s="269"/>
    </row>
    <row r="88" spans="1:57" x14ac:dyDescent="0.2">
      <c r="A88" s="655"/>
      <c r="B88" s="655"/>
      <c r="C88" s="655"/>
      <c r="D88" s="655"/>
      <c r="E88" s="655"/>
      <c r="F88" s="654"/>
      <c r="G88" s="269"/>
      <c r="H88" s="653"/>
      <c r="I88" s="653"/>
      <c r="J88" s="653"/>
      <c r="K88" s="653"/>
      <c r="L88" s="653"/>
      <c r="M88" s="653"/>
      <c r="N88" s="653"/>
      <c r="O88" s="653"/>
      <c r="P88" s="653"/>
      <c r="Q88" s="653"/>
      <c r="R88" s="653"/>
      <c r="S88" s="653"/>
      <c r="T88" s="653"/>
      <c r="U88" s="269"/>
      <c r="V88" s="269"/>
      <c r="W88" s="269"/>
      <c r="X88" s="269"/>
      <c r="Y88" s="269"/>
      <c r="Z88" s="269"/>
      <c r="AA88" s="269"/>
      <c r="AB88" s="269"/>
      <c r="AC88" s="269"/>
      <c r="AD88" s="269"/>
      <c r="AE88" s="269"/>
      <c r="AF88" s="269"/>
      <c r="AG88" s="269"/>
      <c r="AH88" s="269"/>
      <c r="AI88" s="269"/>
      <c r="AJ88" s="269"/>
      <c r="AK88" s="269"/>
      <c r="AL88" s="269"/>
      <c r="AM88" s="269"/>
      <c r="AN88" s="269"/>
      <c r="AO88" s="269"/>
      <c r="AP88" s="269"/>
      <c r="AQ88" s="269"/>
      <c r="AR88" s="269"/>
      <c r="AS88" s="269"/>
      <c r="AT88" s="269"/>
      <c r="AU88" s="269"/>
      <c r="AV88" s="269"/>
      <c r="AW88" s="269"/>
      <c r="AX88" s="269"/>
      <c r="AY88" s="269"/>
      <c r="AZ88" s="269"/>
      <c r="BA88" s="269"/>
      <c r="BB88" s="269"/>
      <c r="BC88" s="269"/>
      <c r="BD88" s="269"/>
      <c r="BE88" s="269"/>
    </row>
    <row r="89" spans="1:57" x14ac:dyDescent="0.2">
      <c r="A89" s="269"/>
      <c r="B89" s="269"/>
      <c r="C89" s="269"/>
      <c r="D89" s="269"/>
      <c r="E89" s="269"/>
      <c r="F89" s="269"/>
      <c r="G89" s="269"/>
      <c r="H89" s="269"/>
      <c r="I89" s="269"/>
      <c r="J89" s="269"/>
      <c r="K89" s="269"/>
      <c r="L89" s="269"/>
      <c r="M89" s="269"/>
      <c r="N89" s="269"/>
      <c r="O89" s="269"/>
      <c r="P89" s="269"/>
      <c r="Q89" s="269"/>
      <c r="R89" s="269"/>
      <c r="S89" s="269"/>
      <c r="T89" s="269"/>
      <c r="U89" s="269"/>
      <c r="V89" s="269"/>
      <c r="W89" s="269"/>
      <c r="X89" s="269"/>
      <c r="Y89" s="269"/>
      <c r="Z89" s="269"/>
      <c r="AA89" s="269"/>
      <c r="AB89" s="269"/>
      <c r="AC89" s="269"/>
      <c r="AD89" s="269"/>
      <c r="AE89" s="269"/>
      <c r="AF89" s="269"/>
      <c r="AG89" s="269"/>
      <c r="AH89" s="269"/>
      <c r="AI89" s="269"/>
      <c r="AJ89" s="269"/>
      <c r="AK89" s="269"/>
      <c r="AL89" s="269"/>
      <c r="AM89" s="269"/>
      <c r="AN89" s="269"/>
      <c r="AO89" s="269"/>
      <c r="AP89" s="269"/>
      <c r="AQ89" s="269"/>
      <c r="AR89" s="269"/>
      <c r="AS89" s="269"/>
      <c r="AT89" s="269"/>
      <c r="AU89" s="269"/>
      <c r="AV89" s="269"/>
      <c r="AW89" s="269"/>
      <c r="AX89" s="269"/>
      <c r="AY89" s="269"/>
      <c r="AZ89" s="269"/>
      <c r="BA89" s="269"/>
      <c r="BB89" s="269"/>
      <c r="BC89" s="269"/>
      <c r="BD89" s="269"/>
      <c r="BE89" s="269"/>
    </row>
    <row r="90" spans="1:57" x14ac:dyDescent="0.2">
      <c r="A90" s="269"/>
      <c r="B90" s="269"/>
      <c r="C90" s="269"/>
      <c r="D90" s="269"/>
      <c r="E90" s="269"/>
      <c r="F90" s="269"/>
      <c r="G90" s="269"/>
      <c r="H90" s="269"/>
      <c r="I90" s="269"/>
      <c r="J90" s="269"/>
      <c r="K90" s="269"/>
      <c r="L90" s="269"/>
      <c r="M90" s="269"/>
      <c r="N90" s="269"/>
      <c r="O90" s="269"/>
      <c r="P90" s="269"/>
      <c r="Q90" s="269"/>
      <c r="R90" s="269"/>
      <c r="S90" s="269"/>
      <c r="T90" s="269"/>
      <c r="U90" s="269"/>
      <c r="V90" s="269"/>
      <c r="W90" s="269"/>
      <c r="X90" s="269"/>
      <c r="Y90" s="269"/>
      <c r="Z90" s="269"/>
      <c r="AA90" s="269"/>
      <c r="AB90" s="269"/>
      <c r="AC90" s="269"/>
      <c r="AD90" s="269"/>
      <c r="AE90" s="269"/>
      <c r="AF90" s="269"/>
      <c r="AG90" s="269"/>
      <c r="AH90" s="269"/>
      <c r="AI90" s="269"/>
      <c r="AJ90" s="269"/>
      <c r="AK90" s="269"/>
      <c r="AL90" s="269"/>
      <c r="AM90" s="269"/>
      <c r="AN90" s="269"/>
      <c r="AO90" s="269"/>
      <c r="AP90" s="269"/>
      <c r="AQ90" s="269"/>
      <c r="AR90" s="269"/>
      <c r="AS90" s="269"/>
      <c r="AT90" s="269"/>
      <c r="AU90" s="269"/>
      <c r="AV90" s="269"/>
      <c r="AW90" s="269"/>
      <c r="AX90" s="269"/>
      <c r="AY90" s="269"/>
      <c r="AZ90" s="269"/>
      <c r="BA90" s="269"/>
      <c r="BB90" s="269"/>
      <c r="BC90" s="269"/>
      <c r="BD90" s="269"/>
      <c r="BE90" s="269"/>
    </row>
    <row r="91" spans="1:57" x14ac:dyDescent="0.2">
      <c r="A91" s="269"/>
      <c r="B91" s="269"/>
      <c r="C91" s="269"/>
      <c r="D91" s="269"/>
      <c r="E91" s="269"/>
      <c r="F91" s="269"/>
      <c r="G91" s="269"/>
      <c r="H91" s="269"/>
      <c r="I91" s="269"/>
      <c r="J91" s="269"/>
      <c r="K91" s="269"/>
      <c r="L91" s="269"/>
      <c r="M91" s="269"/>
      <c r="N91" s="269"/>
      <c r="O91" s="269"/>
      <c r="P91" s="269"/>
      <c r="Q91" s="269"/>
      <c r="R91" s="269"/>
      <c r="S91" s="269"/>
      <c r="T91" s="269"/>
      <c r="U91" s="269"/>
      <c r="V91" s="269"/>
      <c r="W91" s="269"/>
      <c r="X91" s="269"/>
      <c r="Y91" s="269"/>
      <c r="Z91" s="269"/>
      <c r="AA91" s="269"/>
      <c r="AB91" s="269"/>
      <c r="AC91" s="269"/>
      <c r="AD91" s="269"/>
      <c r="AE91" s="269"/>
      <c r="AF91" s="269"/>
      <c r="AG91" s="269"/>
      <c r="AH91" s="269"/>
      <c r="AI91" s="269"/>
      <c r="AJ91" s="269"/>
      <c r="AK91" s="269"/>
      <c r="AL91" s="269"/>
      <c r="AM91" s="269"/>
      <c r="AN91" s="269"/>
      <c r="AO91" s="269"/>
      <c r="AP91" s="269"/>
      <c r="AQ91" s="269"/>
      <c r="AR91" s="269"/>
      <c r="AS91" s="269"/>
      <c r="AT91" s="269"/>
      <c r="AU91" s="269"/>
      <c r="AV91" s="269"/>
      <c r="AW91" s="269"/>
      <c r="AX91" s="269"/>
      <c r="AY91" s="269"/>
      <c r="AZ91" s="269"/>
      <c r="BA91" s="269"/>
      <c r="BB91" s="269"/>
      <c r="BC91" s="269"/>
      <c r="BD91" s="269"/>
      <c r="BE91" s="269"/>
    </row>
  </sheetData>
  <sheetProtection sheet="1" objects="1" scenarios="1" selectLockedCells="1"/>
  <mergeCells count="25">
    <mergeCell ref="AP33:AQ33"/>
    <mergeCell ref="W25:W26"/>
    <mergeCell ref="AR30:AZ30"/>
    <mergeCell ref="Z22:Z23"/>
    <mergeCell ref="J60:K60"/>
    <mergeCell ref="L60:M60"/>
    <mergeCell ref="M29:N29"/>
    <mergeCell ref="Q29:S29"/>
    <mergeCell ref="AP35:AQ35"/>
    <mergeCell ref="AP36:AQ36"/>
    <mergeCell ref="AP32:AQ32"/>
    <mergeCell ref="AP34:AQ34"/>
    <mergeCell ref="AP31:AQ31"/>
    <mergeCell ref="A1:B3"/>
    <mergeCell ref="Q85:Q86"/>
    <mergeCell ref="N83:N84"/>
    <mergeCell ref="O83:O84"/>
    <mergeCell ref="P83:P84"/>
    <mergeCell ref="N85:N86"/>
    <mergeCell ref="O85:O86"/>
    <mergeCell ref="P85:P86"/>
    <mergeCell ref="J64:J66"/>
    <mergeCell ref="C1:K3"/>
    <mergeCell ref="J29:L29"/>
    <mergeCell ref="J57:J59"/>
  </mergeCells>
  <hyperlinks>
    <hyperlink ref="A1:B3" location="Содержание!D32" display=")"/>
  </hyperlink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Visio.Drawing.15" shapeId="6830068" r:id="rId4">
          <objectPr defaultSize="0" r:id="rId5">
            <anchor moveWithCells="1">
              <from>
                <xdr:col>1</xdr:col>
                <xdr:colOff>0</xdr:colOff>
                <xdr:row>47</xdr:row>
                <xdr:rowOff>0</xdr:rowOff>
              </from>
              <to>
                <xdr:col>4</xdr:col>
                <xdr:colOff>400050</xdr:colOff>
                <xdr:row>67</xdr:row>
                <xdr:rowOff>133350</xdr:rowOff>
              </to>
            </anchor>
          </objectPr>
        </oleObject>
      </mc:Choice>
      <mc:Fallback>
        <oleObject progId="Visio.Drawing.15" shapeId="6830068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8"/>
  <dimension ref="A1:Y66"/>
  <sheetViews>
    <sheetView zoomScale="80" zoomScaleNormal="80" workbookViewId="0">
      <pane ySplit="3" topLeftCell="A4" activePane="bottomLeft" state="frozen"/>
      <selection pane="bottomLeft" activeCell="A4" sqref="A4"/>
    </sheetView>
  </sheetViews>
  <sheetFormatPr defaultColWidth="9.140625" defaultRowHeight="12.75" x14ac:dyDescent="0.2"/>
  <cols>
    <col min="1" max="2" width="4.7109375" style="21" customWidth="1"/>
    <col min="3" max="12" width="9.140625" style="21"/>
    <col min="13" max="13" width="4.28515625" style="21" customWidth="1"/>
    <col min="14" max="16384" width="9.140625" style="21"/>
  </cols>
  <sheetData>
    <row r="1" spans="1:25" ht="17.25" customHeight="1" x14ac:dyDescent="0.2">
      <c r="A1" s="727" t="s">
        <v>427</v>
      </c>
      <c r="B1" s="727"/>
      <c r="C1" s="777" t="s">
        <v>235</v>
      </c>
      <c r="D1" s="777"/>
      <c r="E1" s="777"/>
      <c r="F1" s="777"/>
      <c r="G1" s="777"/>
      <c r="H1" s="777"/>
      <c r="I1" s="777"/>
      <c r="J1" s="777"/>
      <c r="K1" s="777"/>
      <c r="L1" s="777"/>
      <c r="M1" s="777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</row>
    <row r="2" spans="1:25" ht="17.25" customHeight="1" x14ac:dyDescent="0.2">
      <c r="A2" s="727"/>
      <c r="B2" s="727"/>
      <c r="C2" s="777"/>
      <c r="D2" s="777"/>
      <c r="E2" s="777"/>
      <c r="F2" s="777"/>
      <c r="G2" s="777"/>
      <c r="H2" s="777"/>
      <c r="I2" s="777"/>
      <c r="J2" s="777"/>
      <c r="K2" s="777"/>
      <c r="L2" s="777"/>
      <c r="M2" s="777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</row>
    <row r="3" spans="1:25" ht="17.25" customHeight="1" x14ac:dyDescent="0.2">
      <c r="A3" s="727"/>
      <c r="B3" s="727"/>
      <c r="C3" s="777"/>
      <c r="D3" s="777"/>
      <c r="E3" s="777"/>
      <c r="F3" s="777"/>
      <c r="G3" s="777"/>
      <c r="H3" s="777"/>
      <c r="I3" s="777"/>
      <c r="J3" s="777"/>
      <c r="K3" s="777"/>
      <c r="L3" s="777"/>
      <c r="M3" s="777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</row>
    <row r="4" spans="1:25" x14ac:dyDescent="0.2">
      <c r="A4" s="677"/>
      <c r="B4" s="20"/>
      <c r="C4" s="208"/>
      <c r="D4" s="208"/>
      <c r="E4" s="208"/>
      <c r="F4" s="208"/>
      <c r="G4" s="208"/>
      <c r="H4" s="208"/>
      <c r="I4" s="208"/>
      <c r="J4" s="208"/>
      <c r="K4" s="208"/>
      <c r="L4" s="208"/>
      <c r="M4" s="20"/>
      <c r="N4" s="208"/>
      <c r="O4" s="208"/>
      <c r="P4" s="208"/>
      <c r="Q4" s="208"/>
      <c r="R4" s="208"/>
      <c r="S4" s="208"/>
      <c r="T4" s="208"/>
      <c r="U4" s="208"/>
      <c r="V4" s="208"/>
      <c r="W4" s="208"/>
      <c r="X4" s="208"/>
      <c r="Y4" s="20"/>
    </row>
    <row r="5" spans="1:25" x14ac:dyDescent="0.2">
      <c r="A5" s="20"/>
      <c r="B5" s="20"/>
      <c r="C5" s="208"/>
      <c r="D5" s="208"/>
      <c r="E5" s="208"/>
      <c r="F5" s="208"/>
      <c r="G5" s="208"/>
      <c r="H5" s="208"/>
      <c r="I5" s="208"/>
      <c r="J5" s="208"/>
      <c r="K5" s="208"/>
      <c r="L5" s="208"/>
      <c r="M5" s="20"/>
      <c r="N5" s="208"/>
      <c r="O5" s="208"/>
      <c r="P5" s="208"/>
      <c r="Q5" s="208"/>
      <c r="R5" s="208"/>
      <c r="S5" s="208"/>
      <c r="T5" s="208"/>
      <c r="U5" s="208"/>
      <c r="V5" s="208"/>
      <c r="W5" s="208"/>
      <c r="X5" s="208"/>
      <c r="Y5" s="20"/>
    </row>
    <row r="6" spans="1:25" x14ac:dyDescent="0.2">
      <c r="A6" s="20"/>
      <c r="B6" s="20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"/>
      <c r="N6" s="208"/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20"/>
    </row>
    <row r="7" spans="1:25" x14ac:dyDescent="0.2">
      <c r="A7" s="20"/>
      <c r="B7" s="20"/>
      <c r="C7" s="208"/>
      <c r="D7" s="208"/>
      <c r="E7" s="208"/>
      <c r="F7" s="208"/>
      <c r="G7" s="208"/>
      <c r="H7" s="208"/>
      <c r="I7" s="208"/>
      <c r="J7" s="208"/>
      <c r="K7" s="208"/>
      <c r="L7" s="208"/>
      <c r="M7" s="20"/>
      <c r="N7" s="208"/>
      <c r="O7" s="208"/>
      <c r="P7" s="208"/>
      <c r="Q7" s="208"/>
      <c r="R7" s="208"/>
      <c r="S7" s="208"/>
      <c r="T7" s="208"/>
      <c r="U7" s="208"/>
      <c r="V7" s="208"/>
      <c r="W7" s="208"/>
      <c r="X7" s="208"/>
      <c r="Y7" s="20"/>
    </row>
    <row r="8" spans="1:25" x14ac:dyDescent="0.2">
      <c r="A8" s="20"/>
      <c r="B8" s="20"/>
      <c r="C8" s="208"/>
      <c r="D8" s="208"/>
      <c r="E8" s="208"/>
      <c r="F8" s="208"/>
      <c r="G8" s="208"/>
      <c r="H8" s="208"/>
      <c r="I8" s="208"/>
      <c r="J8" s="208"/>
      <c r="K8" s="208"/>
      <c r="L8" s="208"/>
      <c r="M8" s="20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"/>
    </row>
    <row r="9" spans="1:25" x14ac:dyDescent="0.2">
      <c r="A9" s="20"/>
      <c r="B9" s="20"/>
      <c r="C9" s="208"/>
      <c r="D9" s="208"/>
      <c r="E9" s="208"/>
      <c r="F9" s="208"/>
      <c r="G9" s="208"/>
      <c r="H9" s="208"/>
      <c r="I9" s="208"/>
      <c r="J9" s="208"/>
      <c r="K9" s="208"/>
      <c r="L9" s="208"/>
      <c r="M9" s="20"/>
      <c r="N9" s="208"/>
      <c r="O9" s="208"/>
      <c r="P9" s="208"/>
      <c r="Q9" s="208"/>
      <c r="R9" s="208"/>
      <c r="S9" s="208"/>
      <c r="T9" s="208"/>
      <c r="U9" s="208"/>
      <c r="V9" s="208"/>
      <c r="W9" s="208"/>
      <c r="X9" s="208"/>
      <c r="Y9" s="20"/>
    </row>
    <row r="10" spans="1:25" x14ac:dyDescent="0.2">
      <c r="A10" s="20"/>
      <c r="B10" s="20"/>
      <c r="C10" s="208"/>
      <c r="D10" s="208"/>
      <c r="E10" s="208"/>
      <c r="F10" s="208"/>
      <c r="G10" s="208"/>
      <c r="H10" s="208"/>
      <c r="I10" s="208"/>
      <c r="J10" s="208"/>
      <c r="K10" s="208"/>
      <c r="L10" s="208"/>
      <c r="M10" s="20"/>
      <c r="N10" s="208"/>
      <c r="O10" s="208"/>
      <c r="P10" s="208"/>
      <c r="Q10" s="208"/>
      <c r="R10" s="208"/>
      <c r="S10" s="208"/>
      <c r="T10" s="208"/>
      <c r="U10" s="208"/>
      <c r="V10" s="208"/>
      <c r="W10" s="208"/>
      <c r="X10" s="208"/>
      <c r="Y10" s="20"/>
    </row>
    <row r="11" spans="1:25" x14ac:dyDescent="0.2">
      <c r="A11" s="20"/>
      <c r="B11" s="20"/>
      <c r="C11" s="208"/>
      <c r="D11" s="208"/>
      <c r="E11" s="208"/>
      <c r="F11" s="208"/>
      <c r="G11" s="208"/>
      <c r="H11" s="208"/>
      <c r="I11" s="208"/>
      <c r="J11" s="208"/>
      <c r="K11" s="208"/>
      <c r="L11" s="208"/>
      <c r="M11" s="20"/>
      <c r="N11" s="208"/>
      <c r="O11" s="208"/>
      <c r="P11" s="208"/>
      <c r="Q11" s="208"/>
      <c r="R11" s="208"/>
      <c r="S11" s="208"/>
      <c r="T11" s="208"/>
      <c r="U11" s="208"/>
      <c r="V11" s="208"/>
      <c r="W11" s="208"/>
      <c r="X11" s="208"/>
      <c r="Y11" s="20"/>
    </row>
    <row r="12" spans="1:25" x14ac:dyDescent="0.2">
      <c r="A12" s="20"/>
      <c r="B12" s="20"/>
      <c r="C12" s="208"/>
      <c r="D12" s="208"/>
      <c r="E12" s="208"/>
      <c r="F12" s="208"/>
      <c r="G12" s="208"/>
      <c r="H12" s="208"/>
      <c r="I12" s="208"/>
      <c r="J12" s="208"/>
      <c r="K12" s="208"/>
      <c r="L12" s="208"/>
      <c r="M12" s="20"/>
      <c r="N12" s="208"/>
      <c r="O12" s="208"/>
      <c r="P12" s="208"/>
      <c r="Q12" s="208"/>
      <c r="R12" s="208"/>
      <c r="S12" s="208"/>
      <c r="T12" s="208"/>
      <c r="U12" s="208"/>
      <c r="V12" s="208"/>
      <c r="W12" s="208"/>
      <c r="X12" s="208"/>
      <c r="Y12" s="20"/>
    </row>
    <row r="13" spans="1:25" x14ac:dyDescent="0.2">
      <c r="A13" s="20"/>
      <c r="B13" s="20"/>
      <c r="C13" s="208"/>
      <c r="D13" s="208"/>
      <c r="E13" s="208"/>
      <c r="F13" s="208"/>
      <c r="G13" s="208"/>
      <c r="H13" s="208"/>
      <c r="I13" s="208"/>
      <c r="J13" s="208"/>
      <c r="K13" s="208"/>
      <c r="L13" s="208"/>
      <c r="M13" s="20"/>
      <c r="N13" s="208"/>
      <c r="O13" s="208"/>
      <c r="P13" s="208"/>
      <c r="Q13" s="208"/>
      <c r="R13" s="208"/>
      <c r="S13" s="208"/>
      <c r="T13" s="208"/>
      <c r="U13" s="208"/>
      <c r="V13" s="208"/>
      <c r="W13" s="208"/>
      <c r="X13" s="208"/>
      <c r="Y13" s="20"/>
    </row>
    <row r="14" spans="1:25" x14ac:dyDescent="0.2">
      <c r="A14" s="20"/>
      <c r="B14" s="20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"/>
      <c r="N14" s="208"/>
      <c r="O14" s="208"/>
      <c r="P14" s="208"/>
      <c r="Q14" s="208"/>
      <c r="R14" s="208"/>
      <c r="S14" s="208"/>
      <c r="T14" s="208"/>
      <c r="U14" s="208"/>
      <c r="V14" s="208"/>
      <c r="W14" s="208"/>
      <c r="X14" s="208"/>
      <c r="Y14" s="20"/>
    </row>
    <row r="15" spans="1:25" x14ac:dyDescent="0.2">
      <c r="A15" s="20"/>
      <c r="B15" s="20"/>
      <c r="C15" s="208"/>
      <c r="D15" s="208"/>
      <c r="E15" s="208"/>
      <c r="F15" s="208"/>
      <c r="G15" s="208"/>
      <c r="H15" s="208"/>
      <c r="I15" s="208"/>
      <c r="J15" s="208"/>
      <c r="K15" s="208"/>
      <c r="L15" s="208"/>
      <c r="M15" s="20"/>
      <c r="N15" s="208"/>
      <c r="O15" s="208"/>
      <c r="P15" s="208"/>
      <c r="Q15" s="208"/>
      <c r="R15" s="208"/>
      <c r="S15" s="208"/>
      <c r="T15" s="208"/>
      <c r="U15" s="208"/>
      <c r="V15" s="208"/>
      <c r="W15" s="208"/>
      <c r="X15" s="208"/>
      <c r="Y15" s="20"/>
    </row>
    <row r="16" spans="1:25" x14ac:dyDescent="0.2">
      <c r="A16" s="20"/>
      <c r="B16" s="20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"/>
      <c r="N16" s="208"/>
      <c r="O16" s="208"/>
      <c r="P16" s="208"/>
      <c r="Q16" s="208"/>
      <c r="R16" s="208"/>
      <c r="S16" s="208"/>
      <c r="T16" s="208"/>
      <c r="U16" s="208"/>
      <c r="V16" s="208"/>
      <c r="W16" s="208"/>
      <c r="X16" s="208"/>
      <c r="Y16" s="20"/>
    </row>
    <row r="17" spans="1:25" x14ac:dyDescent="0.2">
      <c r="A17" s="20"/>
      <c r="B17" s="20"/>
      <c r="C17" s="208"/>
      <c r="D17" s="208"/>
      <c r="E17" s="208"/>
      <c r="F17" s="208"/>
      <c r="G17" s="208"/>
      <c r="H17" s="208"/>
      <c r="I17" s="208"/>
      <c r="J17" s="208"/>
      <c r="K17" s="208"/>
      <c r="L17" s="208"/>
      <c r="M17" s="20"/>
      <c r="N17" s="208"/>
      <c r="O17" s="208"/>
      <c r="P17" s="208"/>
      <c r="Q17" s="208"/>
      <c r="R17" s="208"/>
      <c r="S17" s="208"/>
      <c r="T17" s="208"/>
      <c r="U17" s="208"/>
      <c r="V17" s="208"/>
      <c r="W17" s="208"/>
      <c r="X17" s="208"/>
      <c r="Y17" s="20"/>
    </row>
    <row r="18" spans="1:25" x14ac:dyDescent="0.2">
      <c r="A18" s="20"/>
      <c r="B18" s="20"/>
      <c r="C18" s="208"/>
      <c r="D18" s="208"/>
      <c r="E18" s="208"/>
      <c r="F18" s="208"/>
      <c r="G18" s="208"/>
      <c r="H18" s="208"/>
      <c r="I18" s="208"/>
      <c r="J18" s="208"/>
      <c r="K18" s="208"/>
      <c r="L18" s="208"/>
      <c r="M18" s="20"/>
      <c r="N18" s="208"/>
      <c r="O18" s="208"/>
      <c r="P18" s="208"/>
      <c r="Q18" s="208"/>
      <c r="R18" s="208"/>
      <c r="S18" s="208"/>
      <c r="T18" s="208"/>
      <c r="U18" s="208"/>
      <c r="V18" s="208"/>
      <c r="W18" s="208"/>
      <c r="X18" s="208"/>
      <c r="Y18" s="20"/>
    </row>
    <row r="19" spans="1:25" x14ac:dyDescent="0.2">
      <c r="A19" s="20"/>
      <c r="B19" s="20"/>
      <c r="C19" s="208"/>
      <c r="D19" s="208"/>
      <c r="E19" s="208"/>
      <c r="F19" s="208"/>
      <c r="G19" s="208"/>
      <c r="H19" s="208"/>
      <c r="I19" s="208"/>
      <c r="J19" s="208"/>
      <c r="K19" s="208"/>
      <c r="L19" s="208"/>
      <c r="M19" s="20"/>
      <c r="N19" s="208"/>
      <c r="O19" s="208"/>
      <c r="P19" s="208"/>
      <c r="Q19" s="208"/>
      <c r="R19" s="208"/>
      <c r="S19" s="208"/>
      <c r="T19" s="208"/>
      <c r="U19" s="208"/>
      <c r="V19" s="208"/>
      <c r="W19" s="208"/>
      <c r="X19" s="208"/>
      <c r="Y19" s="20"/>
    </row>
    <row r="20" spans="1:25" x14ac:dyDescent="0.2">
      <c r="A20" s="20"/>
      <c r="B20" s="20"/>
      <c r="C20" s="208"/>
      <c r="D20" s="208"/>
      <c r="E20" s="208"/>
      <c r="F20" s="208"/>
      <c r="G20" s="208"/>
      <c r="H20" s="208"/>
      <c r="I20" s="208"/>
      <c r="J20" s="208"/>
      <c r="K20" s="208"/>
      <c r="L20" s="208"/>
      <c r="M20" s="20"/>
      <c r="N20" s="208"/>
      <c r="O20" s="208"/>
      <c r="P20" s="208"/>
      <c r="Q20" s="208"/>
      <c r="R20" s="208"/>
      <c r="S20" s="208"/>
      <c r="T20" s="208"/>
      <c r="U20" s="208"/>
      <c r="V20" s="208"/>
      <c r="W20" s="208"/>
      <c r="X20" s="208"/>
      <c r="Y20" s="20"/>
    </row>
    <row r="21" spans="1:25" x14ac:dyDescent="0.2">
      <c r="A21" s="20"/>
      <c r="B21" s="20"/>
      <c r="C21" s="208"/>
      <c r="D21" s="208"/>
      <c r="E21" s="208"/>
      <c r="F21" s="208"/>
      <c r="G21" s="208"/>
      <c r="H21" s="208"/>
      <c r="I21" s="208"/>
      <c r="J21" s="208"/>
      <c r="K21" s="208"/>
      <c r="L21" s="208"/>
      <c r="M21" s="20"/>
      <c r="N21" s="208"/>
      <c r="O21" s="208"/>
      <c r="P21" s="208"/>
      <c r="Q21" s="208"/>
      <c r="R21" s="208"/>
      <c r="S21" s="208"/>
      <c r="T21" s="208"/>
      <c r="U21" s="208"/>
      <c r="V21" s="208"/>
      <c r="W21" s="208"/>
      <c r="X21" s="208"/>
      <c r="Y21" s="20"/>
    </row>
    <row r="22" spans="1:25" x14ac:dyDescent="0.2">
      <c r="A22" s="20"/>
      <c r="B22" s="20"/>
      <c r="C22" s="208"/>
      <c r="D22" s="208"/>
      <c r="E22" s="208"/>
      <c r="F22" s="208"/>
      <c r="G22" s="208"/>
      <c r="H22" s="208"/>
      <c r="I22" s="208"/>
      <c r="J22" s="208"/>
      <c r="K22" s="208"/>
      <c r="L22" s="208"/>
      <c r="M22" s="20"/>
      <c r="N22" s="208"/>
      <c r="O22" s="208"/>
      <c r="P22" s="208"/>
      <c r="Q22" s="208"/>
      <c r="R22" s="208"/>
      <c r="S22" s="208"/>
      <c r="T22" s="208"/>
      <c r="U22" s="208"/>
      <c r="V22" s="208"/>
      <c r="W22" s="208"/>
      <c r="X22" s="208"/>
      <c r="Y22" s="20"/>
    </row>
    <row r="23" spans="1:25" x14ac:dyDescent="0.2">
      <c r="A23" s="20"/>
      <c r="B23" s="20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"/>
      <c r="N23" s="208"/>
      <c r="O23" s="208"/>
      <c r="P23" s="208"/>
      <c r="Q23" s="208"/>
      <c r="R23" s="208"/>
      <c r="S23" s="208"/>
      <c r="T23" s="208"/>
      <c r="U23" s="208"/>
      <c r="V23" s="208"/>
      <c r="W23" s="208"/>
      <c r="X23" s="208"/>
      <c r="Y23" s="20"/>
    </row>
    <row r="24" spans="1:25" ht="13.15" x14ac:dyDescent="0.25">
      <c r="A24" s="20"/>
      <c r="B24" s="20"/>
      <c r="C24" s="208"/>
      <c r="D24" s="208"/>
      <c r="E24" s="208"/>
      <c r="F24" s="208"/>
      <c r="G24" s="208"/>
      <c r="H24" s="208"/>
      <c r="I24" s="208"/>
      <c r="J24" s="208"/>
      <c r="K24" s="208"/>
      <c r="L24" s="208"/>
      <c r="M24" s="20"/>
      <c r="N24" s="208"/>
      <c r="O24" s="208"/>
      <c r="P24" s="208"/>
      <c r="Q24" s="208"/>
      <c r="R24" s="208"/>
      <c r="S24" s="208"/>
      <c r="T24" s="208"/>
      <c r="U24" s="208"/>
      <c r="V24" s="208"/>
      <c r="W24" s="208"/>
      <c r="X24" s="208"/>
      <c r="Y24" s="20"/>
    </row>
    <row r="25" spans="1:25" ht="13.15" x14ac:dyDescent="0.25">
      <c r="A25" s="20"/>
      <c r="B25" s="20"/>
      <c r="C25" s="208"/>
      <c r="D25" s="208"/>
      <c r="E25" s="208"/>
      <c r="F25" s="208"/>
      <c r="G25" s="208"/>
      <c r="H25" s="208"/>
      <c r="I25" s="208"/>
      <c r="J25" s="208"/>
      <c r="K25" s="208"/>
      <c r="L25" s="208"/>
      <c r="M25" s="20"/>
      <c r="N25" s="208"/>
      <c r="O25" s="208"/>
      <c r="P25" s="208"/>
      <c r="Q25" s="208"/>
      <c r="R25" s="208"/>
      <c r="S25" s="208"/>
      <c r="T25" s="208"/>
      <c r="U25" s="208"/>
      <c r="V25" s="208"/>
      <c r="W25" s="208"/>
      <c r="X25" s="208"/>
      <c r="Y25" s="20"/>
    </row>
    <row r="26" spans="1:25" ht="13.15" x14ac:dyDescent="0.25">
      <c r="A26" s="20"/>
      <c r="B26" s="20"/>
      <c r="C26" s="208"/>
      <c r="D26" s="208"/>
      <c r="E26" s="208"/>
      <c r="F26" s="208"/>
      <c r="G26" s="208"/>
      <c r="H26" s="208"/>
      <c r="I26" s="208"/>
      <c r="J26" s="208"/>
      <c r="K26" s="208"/>
      <c r="L26" s="208"/>
      <c r="M26" s="20"/>
      <c r="N26" s="208"/>
      <c r="O26" s="208"/>
      <c r="P26" s="208"/>
      <c r="Q26" s="208"/>
      <c r="R26" s="208"/>
      <c r="S26" s="208"/>
      <c r="T26" s="208"/>
      <c r="U26" s="208"/>
      <c r="V26" s="208"/>
      <c r="W26" s="208"/>
      <c r="X26" s="208"/>
      <c r="Y26" s="20"/>
    </row>
    <row r="27" spans="1:25" ht="13.15" x14ac:dyDescent="0.25">
      <c r="A27" s="20"/>
      <c r="B27" s="20"/>
      <c r="C27" s="208"/>
      <c r="D27" s="208"/>
      <c r="E27" s="208"/>
      <c r="F27" s="208"/>
      <c r="G27" s="208"/>
      <c r="H27" s="208"/>
      <c r="I27" s="208"/>
      <c r="J27" s="208"/>
      <c r="K27" s="208"/>
      <c r="L27" s="208"/>
      <c r="M27" s="20"/>
      <c r="N27" s="208"/>
      <c r="O27" s="208"/>
      <c r="P27" s="208"/>
      <c r="Q27" s="208"/>
      <c r="R27" s="208"/>
      <c r="S27" s="208"/>
      <c r="T27" s="208"/>
      <c r="U27" s="208"/>
      <c r="V27" s="208"/>
      <c r="W27" s="208"/>
      <c r="X27" s="208"/>
      <c r="Y27" s="20"/>
    </row>
    <row r="28" spans="1:25" x14ac:dyDescent="0.2">
      <c r="A28" s="20"/>
      <c r="B28" s="20"/>
      <c r="C28" s="208"/>
      <c r="D28" s="208"/>
      <c r="E28" s="208"/>
      <c r="F28" s="208"/>
      <c r="G28" s="208"/>
      <c r="H28" s="208"/>
      <c r="I28" s="208"/>
      <c r="J28" s="208"/>
      <c r="K28" s="208"/>
      <c r="L28" s="208"/>
      <c r="M28" s="20"/>
      <c r="N28" s="208"/>
      <c r="O28" s="208"/>
      <c r="P28" s="208"/>
      <c r="Q28" s="208"/>
      <c r="R28" s="208"/>
      <c r="S28" s="208"/>
      <c r="T28" s="208"/>
      <c r="U28" s="208"/>
      <c r="V28" s="208"/>
      <c r="W28" s="208"/>
      <c r="X28" s="208"/>
      <c r="Y28" s="20"/>
    </row>
    <row r="29" spans="1:25" x14ac:dyDescent="0.2">
      <c r="A29" s="20"/>
      <c r="B29" s="20"/>
      <c r="C29" s="208"/>
      <c r="D29" s="208"/>
      <c r="E29" s="208"/>
      <c r="F29" s="208"/>
      <c r="G29" s="208"/>
      <c r="H29" s="208"/>
      <c r="I29" s="208"/>
      <c r="J29" s="208"/>
      <c r="K29" s="208"/>
      <c r="L29" s="208"/>
      <c r="M29" s="20"/>
      <c r="N29" s="208"/>
      <c r="O29" s="208"/>
      <c r="P29" s="208"/>
      <c r="Q29" s="208"/>
      <c r="R29" s="208"/>
      <c r="S29" s="208"/>
      <c r="T29" s="208"/>
      <c r="U29" s="208"/>
      <c r="V29" s="208"/>
      <c r="W29" s="208"/>
      <c r="X29" s="208"/>
      <c r="Y29" s="20"/>
    </row>
    <row r="30" spans="1:25" x14ac:dyDescent="0.2">
      <c r="A30" s="20"/>
      <c r="B30" s="20"/>
      <c r="C30" s="208"/>
      <c r="D30" s="208"/>
      <c r="E30" s="208"/>
      <c r="F30" s="208"/>
      <c r="G30" s="208"/>
      <c r="H30" s="208"/>
      <c r="I30" s="208"/>
      <c r="J30" s="208"/>
      <c r="K30" s="208"/>
      <c r="L30" s="208"/>
      <c r="M30" s="20"/>
      <c r="N30" s="208"/>
      <c r="O30" s="208"/>
      <c r="P30" s="208"/>
      <c r="Q30" s="208"/>
      <c r="R30" s="208"/>
      <c r="S30" s="208"/>
      <c r="T30" s="208"/>
      <c r="U30" s="208"/>
      <c r="V30" s="208"/>
      <c r="W30" s="208"/>
      <c r="X30" s="208"/>
      <c r="Y30" s="20"/>
    </row>
    <row r="31" spans="1:25" x14ac:dyDescent="0.2">
      <c r="A31" s="20"/>
      <c r="B31" s="20"/>
      <c r="C31" s="208"/>
      <c r="D31" s="208"/>
      <c r="E31" s="208"/>
      <c r="F31" s="208"/>
      <c r="G31" s="208"/>
      <c r="H31" s="208"/>
      <c r="I31" s="208"/>
      <c r="J31" s="208"/>
      <c r="K31" s="208"/>
      <c r="L31" s="208"/>
      <c r="M31" s="20"/>
      <c r="N31" s="208"/>
      <c r="O31" s="208"/>
      <c r="P31" s="208"/>
      <c r="Q31" s="208"/>
      <c r="R31" s="208"/>
      <c r="S31" s="208"/>
      <c r="T31" s="208"/>
      <c r="U31" s="208"/>
      <c r="V31" s="208"/>
      <c r="W31" s="208"/>
      <c r="X31" s="208"/>
      <c r="Y31" s="20"/>
    </row>
    <row r="32" spans="1:25" x14ac:dyDescent="0.2">
      <c r="A32" s="20"/>
      <c r="B32" s="20"/>
      <c r="C32" s="208"/>
      <c r="D32" s="208"/>
      <c r="E32" s="208"/>
      <c r="F32" s="208"/>
      <c r="G32" s="208"/>
      <c r="H32" s="208"/>
      <c r="I32" s="208"/>
      <c r="J32" s="208"/>
      <c r="K32" s="208"/>
      <c r="L32" s="208"/>
      <c r="M32" s="20"/>
      <c r="N32" s="208"/>
      <c r="O32" s="208"/>
      <c r="P32" s="208"/>
      <c r="Q32" s="208"/>
      <c r="R32" s="208"/>
      <c r="S32" s="208"/>
      <c r="T32" s="208"/>
      <c r="U32" s="208"/>
      <c r="V32" s="208"/>
      <c r="W32" s="208"/>
      <c r="X32" s="208"/>
      <c r="Y32" s="20"/>
    </row>
    <row r="33" spans="1:25" x14ac:dyDescent="0.2">
      <c r="A33" s="20"/>
      <c r="B33" s="20"/>
      <c r="C33" s="208"/>
      <c r="D33" s="208"/>
      <c r="E33" s="208"/>
      <c r="F33" s="208"/>
      <c r="G33" s="208"/>
      <c r="H33" s="208"/>
      <c r="I33" s="208"/>
      <c r="J33" s="208"/>
      <c r="K33" s="208"/>
      <c r="L33" s="208"/>
      <c r="M33" s="20"/>
      <c r="N33" s="208"/>
      <c r="O33" s="208"/>
      <c r="P33" s="208"/>
      <c r="Q33" s="208"/>
      <c r="R33" s="208"/>
      <c r="S33" s="208"/>
      <c r="T33" s="208"/>
      <c r="U33" s="208"/>
      <c r="V33" s="208"/>
      <c r="W33" s="208"/>
      <c r="X33" s="208"/>
      <c r="Y33" s="20"/>
    </row>
    <row r="34" spans="1:25" x14ac:dyDescent="0.2">
      <c r="A34" s="20"/>
      <c r="B34" s="20"/>
      <c r="C34" s="208"/>
      <c r="D34" s="208"/>
      <c r="E34" s="208"/>
      <c r="F34" s="208"/>
      <c r="G34" s="208"/>
      <c r="H34" s="208"/>
      <c r="I34" s="208"/>
      <c r="J34" s="208"/>
      <c r="K34" s="208"/>
      <c r="L34" s="208"/>
      <c r="M34" s="20"/>
      <c r="N34" s="208"/>
      <c r="O34" s="208"/>
      <c r="P34" s="208"/>
      <c r="Q34" s="208"/>
      <c r="R34" s="208"/>
      <c r="S34" s="208"/>
      <c r="T34" s="208"/>
      <c r="U34" s="208"/>
      <c r="V34" s="208"/>
      <c r="W34" s="208"/>
      <c r="X34" s="208"/>
      <c r="Y34" s="20"/>
    </row>
    <row r="35" spans="1:25" x14ac:dyDescent="0.2">
      <c r="A35" s="20"/>
      <c r="B35" s="20"/>
      <c r="C35" s="208"/>
      <c r="D35" s="208"/>
      <c r="E35" s="208"/>
      <c r="F35" s="208"/>
      <c r="G35" s="208"/>
      <c r="H35" s="208"/>
      <c r="I35" s="208"/>
      <c r="J35" s="208"/>
      <c r="K35" s="208"/>
      <c r="L35" s="208"/>
      <c r="M35" s="20"/>
      <c r="N35" s="208"/>
      <c r="O35" s="208"/>
      <c r="P35" s="208"/>
      <c r="Q35" s="208"/>
      <c r="R35" s="208"/>
      <c r="S35" s="208"/>
      <c r="T35" s="208"/>
      <c r="U35" s="208"/>
      <c r="V35" s="208"/>
      <c r="W35" s="208"/>
      <c r="X35" s="208"/>
      <c r="Y35" s="20"/>
    </row>
    <row r="36" spans="1:25" x14ac:dyDescent="0.2">
      <c r="A36" s="20"/>
      <c r="B36" s="20"/>
      <c r="C36" s="208"/>
      <c r="D36" s="208"/>
      <c r="E36" s="208"/>
      <c r="F36" s="208"/>
      <c r="G36" s="208"/>
      <c r="H36" s="208"/>
      <c r="I36" s="208"/>
      <c r="J36" s="208"/>
      <c r="K36" s="208"/>
      <c r="L36" s="208"/>
      <c r="M36" s="20"/>
      <c r="N36" s="208"/>
      <c r="O36" s="208"/>
      <c r="P36" s="208"/>
      <c r="Q36" s="208"/>
      <c r="R36" s="208"/>
      <c r="S36" s="208"/>
      <c r="T36" s="208"/>
      <c r="U36" s="208"/>
      <c r="V36" s="208"/>
      <c r="W36" s="208"/>
      <c r="X36" s="208"/>
      <c r="Y36" s="20"/>
    </row>
    <row r="37" spans="1:25" x14ac:dyDescent="0.2">
      <c r="A37" s="20"/>
      <c r="B37" s="20"/>
      <c r="C37" s="208"/>
      <c r="D37" s="208"/>
      <c r="E37" s="208"/>
      <c r="F37" s="208"/>
      <c r="G37" s="208"/>
      <c r="H37" s="208"/>
      <c r="I37" s="208"/>
      <c r="J37" s="208"/>
      <c r="K37" s="208"/>
      <c r="L37" s="208"/>
      <c r="M37" s="20"/>
      <c r="N37" s="208"/>
      <c r="O37" s="208"/>
      <c r="P37" s="208"/>
      <c r="Q37" s="208"/>
      <c r="R37" s="208"/>
      <c r="S37" s="208"/>
      <c r="T37" s="208"/>
      <c r="U37" s="208"/>
      <c r="V37" s="208"/>
      <c r="W37" s="208"/>
      <c r="X37" s="208"/>
      <c r="Y37" s="20"/>
    </row>
    <row r="38" spans="1:25" x14ac:dyDescent="0.2">
      <c r="A38" s="20"/>
      <c r="B38" s="20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"/>
      <c r="N38" s="208"/>
      <c r="O38" s="208"/>
      <c r="P38" s="208"/>
      <c r="Q38" s="208"/>
      <c r="R38" s="208"/>
      <c r="S38" s="208"/>
      <c r="T38" s="208"/>
      <c r="U38" s="208"/>
      <c r="V38" s="208"/>
      <c r="W38" s="208"/>
      <c r="X38" s="208"/>
      <c r="Y38" s="20"/>
    </row>
    <row r="39" spans="1:25" x14ac:dyDescent="0.2">
      <c r="A39" s="20"/>
      <c r="B39" s="20"/>
      <c r="C39" s="208"/>
      <c r="D39" s="208"/>
      <c r="E39" s="208"/>
      <c r="F39" s="208"/>
      <c r="G39" s="208"/>
      <c r="H39" s="208"/>
      <c r="I39" s="208"/>
      <c r="J39" s="208"/>
      <c r="K39" s="208"/>
      <c r="L39" s="208"/>
      <c r="M39" s="20"/>
      <c r="N39" s="208"/>
      <c r="O39" s="208"/>
      <c r="P39" s="208"/>
      <c r="Q39" s="208"/>
      <c r="R39" s="208"/>
      <c r="S39" s="208"/>
      <c r="T39" s="208"/>
      <c r="U39" s="208"/>
      <c r="V39" s="208"/>
      <c r="W39" s="208"/>
      <c r="X39" s="208"/>
      <c r="Y39" s="20"/>
    </row>
    <row r="40" spans="1:25" x14ac:dyDescent="0.2">
      <c r="A40" s="20"/>
      <c r="B40" s="20"/>
      <c r="C40" s="208"/>
      <c r="D40" s="208"/>
      <c r="E40" s="208"/>
      <c r="F40" s="208"/>
      <c r="G40" s="208"/>
      <c r="H40" s="208"/>
      <c r="I40" s="208"/>
      <c r="J40" s="208"/>
      <c r="K40" s="208"/>
      <c r="L40" s="208"/>
      <c r="M40" s="20"/>
      <c r="N40" s="208"/>
      <c r="O40" s="208"/>
      <c r="P40" s="208"/>
      <c r="Q40" s="208"/>
      <c r="R40" s="208"/>
      <c r="S40" s="208"/>
      <c r="T40" s="208"/>
      <c r="U40" s="208"/>
      <c r="V40" s="208"/>
      <c r="W40" s="208"/>
      <c r="X40" s="208"/>
      <c r="Y40" s="20"/>
    </row>
    <row r="41" spans="1:25" x14ac:dyDescent="0.2">
      <c r="A41" s="20"/>
      <c r="B41" s="20"/>
      <c r="C41" s="208"/>
      <c r="D41" s="208"/>
      <c r="E41" s="208"/>
      <c r="F41" s="208"/>
      <c r="G41" s="208"/>
      <c r="H41" s="208"/>
      <c r="I41" s="208"/>
      <c r="J41" s="208"/>
      <c r="K41" s="208"/>
      <c r="L41" s="208"/>
      <c r="M41" s="20"/>
      <c r="N41" s="208"/>
      <c r="O41" s="208"/>
      <c r="P41" s="208"/>
      <c r="Q41" s="208"/>
      <c r="R41" s="208"/>
      <c r="S41" s="208"/>
      <c r="T41" s="208"/>
      <c r="U41" s="208"/>
      <c r="V41" s="208"/>
      <c r="W41" s="208"/>
      <c r="X41" s="208"/>
      <c r="Y41" s="20"/>
    </row>
    <row r="42" spans="1:25" x14ac:dyDescent="0.2">
      <c r="A42" s="20"/>
      <c r="B42" s="20"/>
      <c r="C42" s="208"/>
      <c r="D42" s="208"/>
      <c r="E42" s="208"/>
      <c r="F42" s="208"/>
      <c r="G42" s="208"/>
      <c r="H42" s="208"/>
      <c r="I42" s="208"/>
      <c r="J42" s="208"/>
      <c r="K42" s="208"/>
      <c r="L42" s="208"/>
      <c r="M42" s="20"/>
      <c r="N42" s="208"/>
      <c r="O42" s="208"/>
      <c r="P42" s="208"/>
      <c r="Q42" s="208"/>
      <c r="R42" s="208"/>
      <c r="S42" s="208"/>
      <c r="T42" s="208"/>
      <c r="U42" s="208"/>
      <c r="V42" s="208"/>
      <c r="W42" s="208"/>
      <c r="X42" s="208"/>
      <c r="Y42" s="20"/>
    </row>
    <row r="43" spans="1:25" x14ac:dyDescent="0.2">
      <c r="A43" s="20"/>
      <c r="B43" s="20"/>
      <c r="C43" s="208"/>
      <c r="D43" s="208"/>
      <c r="E43" s="208"/>
      <c r="F43" s="208"/>
      <c r="G43" s="208"/>
      <c r="H43" s="208"/>
      <c r="I43" s="208"/>
      <c r="J43" s="208"/>
      <c r="K43" s="208"/>
      <c r="L43" s="208"/>
      <c r="M43" s="20"/>
      <c r="N43" s="208"/>
      <c r="O43" s="208"/>
      <c r="P43" s="208"/>
      <c r="Q43" s="208"/>
      <c r="R43" s="208"/>
      <c r="S43" s="208"/>
      <c r="T43" s="208"/>
      <c r="U43" s="208"/>
      <c r="V43" s="208"/>
      <c r="W43" s="208"/>
      <c r="X43" s="208"/>
      <c r="Y43" s="20"/>
    </row>
    <row r="44" spans="1:25" x14ac:dyDescent="0.2">
      <c r="A44" s="20"/>
      <c r="B44" s="20"/>
      <c r="C44" s="208"/>
      <c r="D44" s="208"/>
      <c r="E44" s="208"/>
      <c r="F44" s="208"/>
      <c r="G44" s="208"/>
      <c r="H44" s="208"/>
      <c r="I44" s="208"/>
      <c r="J44" s="208"/>
      <c r="K44" s="208"/>
      <c r="L44" s="208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</row>
    <row r="45" spans="1:25" x14ac:dyDescent="0.2">
      <c r="A45" s="20"/>
      <c r="B45" s="20"/>
      <c r="C45" s="208"/>
      <c r="D45" s="208"/>
      <c r="E45" s="208"/>
      <c r="F45" s="208"/>
      <c r="G45" s="208"/>
      <c r="H45" s="208"/>
      <c r="I45" s="208"/>
      <c r="J45" s="208"/>
      <c r="K45" s="208"/>
      <c r="L45" s="208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</row>
    <row r="46" spans="1:25" x14ac:dyDescent="0.2">
      <c r="A46" s="20"/>
      <c r="B46" s="20"/>
      <c r="C46" s="208"/>
      <c r="D46" s="208"/>
      <c r="E46" s="208"/>
      <c r="F46" s="208"/>
      <c r="G46" s="208"/>
      <c r="H46" s="208"/>
      <c r="I46" s="208"/>
      <c r="J46" s="208"/>
      <c r="K46" s="208"/>
      <c r="L46" s="208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</row>
    <row r="47" spans="1:25" x14ac:dyDescent="0.2">
      <c r="A47" s="20"/>
      <c r="B47" s="20"/>
      <c r="C47" s="208"/>
      <c r="D47" s="208"/>
      <c r="E47" s="208"/>
      <c r="F47" s="208"/>
      <c r="G47" s="208"/>
      <c r="H47" s="208"/>
      <c r="I47" s="208"/>
      <c r="J47" s="208"/>
      <c r="K47" s="208"/>
      <c r="L47" s="208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</row>
    <row r="48" spans="1:25" x14ac:dyDescent="0.2">
      <c r="A48" s="20"/>
      <c r="B48" s="20"/>
      <c r="C48" s="208"/>
      <c r="D48" s="208"/>
      <c r="E48" s="208"/>
      <c r="F48" s="208"/>
      <c r="G48" s="208"/>
      <c r="H48" s="208"/>
      <c r="I48" s="208"/>
      <c r="J48" s="208"/>
      <c r="K48" s="208"/>
      <c r="L48" s="208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</row>
    <row r="49" spans="1:25" x14ac:dyDescent="0.2">
      <c r="A49" s="20"/>
      <c r="B49" s="20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</row>
    <row r="50" spans="1:25" x14ac:dyDescent="0.2">
      <c r="A50" s="20"/>
      <c r="B50" s="20"/>
      <c r="C50" s="208"/>
      <c r="D50" s="208"/>
      <c r="E50" s="208"/>
      <c r="F50" s="208"/>
      <c r="G50" s="208"/>
      <c r="H50" s="208"/>
      <c r="I50" s="208"/>
      <c r="J50" s="208"/>
      <c r="K50" s="208"/>
      <c r="L50" s="208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</row>
    <row r="51" spans="1:25" x14ac:dyDescent="0.2">
      <c r="A51" s="20"/>
      <c r="B51" s="20"/>
      <c r="C51" s="208"/>
      <c r="D51" s="208"/>
      <c r="E51" s="208"/>
      <c r="F51" s="208"/>
      <c r="G51" s="208"/>
      <c r="H51" s="208"/>
      <c r="I51" s="208"/>
      <c r="J51" s="208"/>
      <c r="K51" s="208"/>
      <c r="L51" s="208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</row>
    <row r="52" spans="1:25" x14ac:dyDescent="0.2">
      <c r="A52" s="20"/>
      <c r="B52" s="20"/>
      <c r="C52" s="208"/>
      <c r="D52" s="208"/>
      <c r="E52" s="208"/>
      <c r="F52" s="208"/>
      <c r="G52" s="208"/>
      <c r="H52" s="208"/>
      <c r="I52" s="208"/>
      <c r="J52" s="208"/>
      <c r="K52" s="208"/>
      <c r="L52" s="208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</row>
    <row r="53" spans="1:25" x14ac:dyDescent="0.2">
      <c r="A53" s="20"/>
      <c r="B53" s="20"/>
      <c r="C53" s="208"/>
      <c r="D53" s="208"/>
      <c r="E53" s="208"/>
      <c r="F53" s="208"/>
      <c r="G53" s="208"/>
      <c r="H53" s="208"/>
      <c r="I53" s="208"/>
      <c r="J53" s="208"/>
      <c r="K53" s="208"/>
      <c r="L53" s="208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</row>
    <row r="54" spans="1:25" x14ac:dyDescent="0.2">
      <c r="A54" s="20"/>
      <c r="B54" s="20"/>
      <c r="C54" s="208"/>
      <c r="D54" s="208"/>
      <c r="E54" s="208"/>
      <c r="F54" s="208"/>
      <c r="G54" s="208"/>
      <c r="H54" s="208"/>
      <c r="I54" s="208"/>
      <c r="J54" s="208"/>
      <c r="K54" s="208"/>
      <c r="L54" s="208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</row>
    <row r="55" spans="1:25" x14ac:dyDescent="0.2">
      <c r="A55" s="20"/>
      <c r="B55" s="20"/>
      <c r="C55" s="208"/>
      <c r="D55" s="208"/>
      <c r="E55" s="208"/>
      <c r="F55" s="208"/>
      <c r="G55" s="208"/>
      <c r="H55" s="208"/>
      <c r="I55" s="208"/>
      <c r="J55" s="208"/>
      <c r="K55" s="208"/>
      <c r="L55" s="208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</row>
    <row r="56" spans="1:25" x14ac:dyDescent="0.2">
      <c r="A56" s="20"/>
      <c r="B56" s="20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</row>
    <row r="57" spans="1:25" x14ac:dyDescent="0.2">
      <c r="A57" s="20"/>
      <c r="B57" s="20"/>
      <c r="C57" s="208"/>
      <c r="D57" s="208"/>
      <c r="E57" s="208"/>
      <c r="F57" s="208"/>
      <c r="G57" s="208"/>
      <c r="H57" s="208"/>
      <c r="I57" s="208"/>
      <c r="J57" s="208"/>
      <c r="K57" s="208"/>
      <c r="L57" s="208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</row>
    <row r="58" spans="1:25" x14ac:dyDescent="0.2">
      <c r="A58" s="20"/>
      <c r="B58" s="20"/>
      <c r="C58" s="208"/>
      <c r="D58" s="208"/>
      <c r="E58" s="208"/>
      <c r="F58" s="208"/>
      <c r="G58" s="208"/>
      <c r="H58" s="208"/>
      <c r="I58" s="208"/>
      <c r="J58" s="208"/>
      <c r="K58" s="208"/>
      <c r="L58" s="208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</row>
    <row r="59" spans="1:25" x14ac:dyDescent="0.2">
      <c r="A59" s="20"/>
      <c r="B59" s="20"/>
      <c r="C59" s="208"/>
      <c r="D59" s="208"/>
      <c r="E59" s="208"/>
      <c r="F59" s="208"/>
      <c r="G59" s="208"/>
      <c r="H59" s="208"/>
      <c r="I59" s="208"/>
      <c r="J59" s="208"/>
      <c r="K59" s="208"/>
      <c r="L59" s="208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</row>
    <row r="60" spans="1:25" x14ac:dyDescent="0.2">
      <c r="A60" s="20"/>
      <c r="B60" s="20"/>
      <c r="C60" s="208"/>
      <c r="D60" s="208"/>
      <c r="E60" s="208"/>
      <c r="F60" s="208"/>
      <c r="G60" s="208"/>
      <c r="H60" s="208"/>
      <c r="I60" s="208"/>
      <c r="J60" s="208"/>
      <c r="K60" s="208"/>
      <c r="L60" s="208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</row>
    <row r="61" spans="1:25" x14ac:dyDescent="0.2">
      <c r="A61" s="20"/>
      <c r="B61" s="20"/>
      <c r="C61" s="208"/>
      <c r="D61" s="208"/>
      <c r="E61" s="208"/>
      <c r="F61" s="208"/>
      <c r="G61" s="208"/>
      <c r="H61" s="208"/>
      <c r="I61" s="208"/>
      <c r="J61" s="208"/>
      <c r="K61" s="208"/>
      <c r="L61" s="208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</row>
    <row r="62" spans="1:25" x14ac:dyDescent="0.2">
      <c r="A62" s="20"/>
      <c r="B62" s="20"/>
      <c r="C62" s="208"/>
      <c r="D62" s="208"/>
      <c r="E62" s="208"/>
      <c r="F62" s="208"/>
      <c r="G62" s="208"/>
      <c r="H62" s="208"/>
      <c r="I62" s="208"/>
      <c r="J62" s="208"/>
      <c r="K62" s="208"/>
      <c r="L62" s="208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</row>
    <row r="63" spans="1:25" x14ac:dyDescent="0.2">
      <c r="A63" s="20"/>
      <c r="B63" s="20"/>
      <c r="C63" s="208"/>
      <c r="D63" s="208"/>
      <c r="E63" s="208"/>
      <c r="F63" s="208"/>
      <c r="G63" s="208"/>
      <c r="H63" s="208"/>
      <c r="I63" s="208"/>
      <c r="J63" s="208"/>
      <c r="K63" s="208"/>
      <c r="L63" s="208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</row>
    <row r="64" spans="1:25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</row>
    <row r="65" spans="1:25" x14ac:dyDescent="0.2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</row>
    <row r="66" spans="1:25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</row>
  </sheetData>
  <sheetProtection sheet="1" objects="1" scenarios="1" selectLockedCells="1"/>
  <mergeCells count="2">
    <mergeCell ref="C1:M3"/>
    <mergeCell ref="A1:B3"/>
  </mergeCells>
  <hyperlinks>
    <hyperlink ref="A1:B3" location="Содержание!D32" display=")"/>
  </hyperlinks>
  <pageMargins left="0.7" right="0.7" top="0.75" bottom="0.75" header="0.3" footer="0.3"/>
  <pageSetup paperSize="8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6712321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6712321" r:id="rId4"/>
      </mc:Fallback>
    </mc:AlternateContent>
    <mc:AlternateContent xmlns:mc="http://schemas.openxmlformats.org/markup-compatibility/2006">
      <mc:Choice Requires="x14">
        <oleObject progId="Visio.Drawing.11" shapeId="6712322" r:id="rId6">
          <objectPr defaultSiz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Visio.Drawing.11" shapeId="6712322" r:id="rId6"/>
      </mc:Fallback>
    </mc:AlternateContent>
    <mc:AlternateContent xmlns:mc="http://schemas.openxmlformats.org/markup-compatibility/2006">
      <mc:Choice Requires="x14">
        <oleObject progId="Equation.3" shapeId="6712323" r:id="rId8">
          <objectPr defaultSize="0" autoPict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6712323" r:id="rId8"/>
      </mc:Fallback>
    </mc:AlternateContent>
    <mc:AlternateContent xmlns:mc="http://schemas.openxmlformats.org/markup-compatibility/2006">
      <mc:Choice Requires="x14">
        <oleObject progId="Equation.3" shapeId="6712324" r:id="rId10">
          <objectPr defaultSize="0" autoPict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6712324" r:id="rId10"/>
      </mc:Fallback>
    </mc:AlternateContent>
    <mc:AlternateContent xmlns:mc="http://schemas.openxmlformats.org/markup-compatibility/2006">
      <mc:Choice Requires="x14">
        <oleObject progId="Equation.3" shapeId="6712325" r:id="rId12">
          <objectPr defaultSize="0" autoPict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6712325" r:id="rId12"/>
      </mc:Fallback>
    </mc:AlternateContent>
    <mc:AlternateContent xmlns:mc="http://schemas.openxmlformats.org/markup-compatibility/2006">
      <mc:Choice Requires="x14">
        <oleObject progId="Equation.3" shapeId="6712326" r:id="rId14">
          <objectPr defaultSize="0" autoPict="0" r:id="rId1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6712326" r:id="rId14"/>
      </mc:Fallback>
    </mc:AlternateContent>
    <mc:AlternateContent xmlns:mc="http://schemas.openxmlformats.org/markup-compatibility/2006">
      <mc:Choice Requires="x14">
        <oleObject progId="Equation.3" shapeId="6712327" r:id="rId16">
          <objectPr defaultSize="0" autoPict="0" r:id="rId1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6712327" r:id="rId16"/>
      </mc:Fallback>
    </mc:AlternateContent>
    <mc:AlternateContent xmlns:mc="http://schemas.openxmlformats.org/markup-compatibility/2006">
      <mc:Choice Requires="x14">
        <oleObject progId="Equation.3" shapeId="6712328" r:id="rId18">
          <objectPr defaultSize="0" autoPict="0" r:id="rId1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6712328" r:id="rId18"/>
      </mc:Fallback>
    </mc:AlternateContent>
    <mc:AlternateContent xmlns:mc="http://schemas.openxmlformats.org/markup-compatibility/2006">
      <mc:Choice Requires="x14">
        <oleObject progId="Equation.3" shapeId="6712329" r:id="rId20">
          <objectPr defaultSize="0" autoPict="0" r:id="rId2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6712329" r:id="rId20"/>
      </mc:Fallback>
    </mc:AlternateContent>
    <mc:AlternateContent xmlns:mc="http://schemas.openxmlformats.org/markup-compatibility/2006">
      <mc:Choice Requires="x14">
        <oleObject progId="Equation.3" shapeId="6712330" r:id="rId22">
          <objectPr defaultSize="0" autoPict="0" r:id="rId2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6712330" r:id="rId22"/>
      </mc:Fallback>
    </mc:AlternateContent>
    <mc:AlternateContent xmlns:mc="http://schemas.openxmlformats.org/markup-compatibility/2006">
      <mc:Choice Requires="x14">
        <oleObject progId="Equation.3" shapeId="6712331" r:id="rId24">
          <objectPr defaultSize="0" autoPict="0" r:id="rId2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6712331" r:id="rId2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9"/>
  <dimension ref="A1:X57"/>
  <sheetViews>
    <sheetView zoomScale="80" zoomScaleNormal="80" workbookViewId="0">
      <pane ySplit="3" topLeftCell="A4" activePane="bottomLeft" state="frozen"/>
      <selection pane="bottomLeft" activeCell="A4" sqref="A4"/>
    </sheetView>
  </sheetViews>
  <sheetFormatPr defaultColWidth="9.140625" defaultRowHeight="12.75" x14ac:dyDescent="0.2"/>
  <cols>
    <col min="1" max="2" width="4.42578125" style="21" customWidth="1"/>
    <col min="3" max="11" width="9.140625" style="21"/>
    <col min="12" max="13" width="4.28515625" style="21" customWidth="1"/>
    <col min="14" max="22" width="9.140625" style="21"/>
    <col min="23" max="23" width="4.28515625" style="21" customWidth="1"/>
    <col min="24" max="16384" width="9.140625" style="21"/>
  </cols>
  <sheetData>
    <row r="1" spans="1:24" ht="17.25" customHeight="1" x14ac:dyDescent="0.2">
      <c r="A1" s="727" t="s">
        <v>427</v>
      </c>
      <c r="B1" s="727"/>
      <c r="C1" s="777" t="s">
        <v>234</v>
      </c>
      <c r="D1" s="777"/>
      <c r="E1" s="777"/>
      <c r="F1" s="777"/>
      <c r="G1" s="777"/>
      <c r="H1" s="777"/>
      <c r="I1" s="777"/>
      <c r="J1" s="777"/>
      <c r="K1" s="777"/>
      <c r="L1" s="777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</row>
    <row r="2" spans="1:24" ht="17.25" customHeight="1" x14ac:dyDescent="0.2">
      <c r="A2" s="727"/>
      <c r="B2" s="727"/>
      <c r="C2" s="777"/>
      <c r="D2" s="777"/>
      <c r="E2" s="777"/>
      <c r="F2" s="777"/>
      <c r="G2" s="777"/>
      <c r="H2" s="777"/>
      <c r="I2" s="777"/>
      <c r="J2" s="777"/>
      <c r="K2" s="777"/>
      <c r="L2" s="777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</row>
    <row r="3" spans="1:24" ht="17.25" customHeight="1" x14ac:dyDescent="0.2">
      <c r="A3" s="727"/>
      <c r="B3" s="727"/>
      <c r="C3" s="777"/>
      <c r="D3" s="777"/>
      <c r="E3" s="777"/>
      <c r="F3" s="777"/>
      <c r="G3" s="777"/>
      <c r="H3" s="777"/>
      <c r="I3" s="777"/>
      <c r="J3" s="777"/>
      <c r="K3" s="777"/>
      <c r="L3" s="777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</row>
    <row r="4" spans="1:24" x14ac:dyDescent="0.2">
      <c r="A4" s="677"/>
      <c r="B4" s="20"/>
      <c r="C4" s="208"/>
      <c r="D4" s="208"/>
      <c r="E4" s="208"/>
      <c r="F4" s="208"/>
      <c r="G4" s="208"/>
      <c r="H4" s="208"/>
      <c r="I4" s="208"/>
      <c r="J4" s="208"/>
      <c r="K4" s="208"/>
      <c r="L4" s="208"/>
      <c r="M4" s="20"/>
      <c r="N4" s="208"/>
      <c r="O4" s="208"/>
      <c r="P4" s="208"/>
      <c r="Q4" s="208"/>
      <c r="R4" s="208"/>
      <c r="S4" s="208"/>
      <c r="T4" s="208"/>
      <c r="U4" s="208"/>
      <c r="V4" s="208"/>
      <c r="W4" s="208"/>
      <c r="X4" s="20"/>
    </row>
    <row r="5" spans="1:24" x14ac:dyDescent="0.2">
      <c r="A5" s="20"/>
      <c r="B5" s="20"/>
      <c r="C5" s="208"/>
      <c r="D5" s="208"/>
      <c r="E5" s="208"/>
      <c r="F5" s="208"/>
      <c r="G5" s="208"/>
      <c r="H5" s="208"/>
      <c r="I5" s="208"/>
      <c r="J5" s="208"/>
      <c r="K5" s="208"/>
      <c r="L5" s="208"/>
      <c r="M5" s="20"/>
      <c r="N5" s="208"/>
      <c r="O5" s="208"/>
      <c r="P5" s="208"/>
      <c r="Q5" s="208"/>
      <c r="R5" s="208"/>
      <c r="S5" s="208"/>
      <c r="T5" s="208"/>
      <c r="U5" s="208"/>
      <c r="V5" s="208"/>
      <c r="W5" s="208"/>
      <c r="X5" s="20"/>
    </row>
    <row r="6" spans="1:24" x14ac:dyDescent="0.2">
      <c r="A6" s="20"/>
      <c r="B6" s="20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"/>
      <c r="N6" s="208"/>
      <c r="O6" s="208"/>
      <c r="P6" s="208"/>
      <c r="Q6" s="208"/>
      <c r="R6" s="208"/>
      <c r="S6" s="208"/>
      <c r="T6" s="208"/>
      <c r="U6" s="208"/>
      <c r="V6" s="208"/>
      <c r="W6" s="208"/>
      <c r="X6" s="20"/>
    </row>
    <row r="7" spans="1:24" x14ac:dyDescent="0.2">
      <c r="A7" s="20"/>
      <c r="B7" s="20"/>
      <c r="C7" s="208"/>
      <c r="D7" s="208"/>
      <c r="E7" s="208"/>
      <c r="F7" s="208"/>
      <c r="G7" s="208"/>
      <c r="H7" s="208"/>
      <c r="I7" s="208"/>
      <c r="J7" s="208"/>
      <c r="K7" s="208"/>
      <c r="L7" s="208"/>
      <c r="M7" s="20"/>
      <c r="N7" s="208"/>
      <c r="O7" s="208"/>
      <c r="P7" s="208"/>
      <c r="Q7" s="208"/>
      <c r="R7" s="208"/>
      <c r="S7" s="208"/>
      <c r="T7" s="208"/>
      <c r="U7" s="208"/>
      <c r="V7" s="208"/>
      <c r="W7" s="208"/>
      <c r="X7" s="20"/>
    </row>
    <row r="8" spans="1:24" x14ac:dyDescent="0.2">
      <c r="A8" s="20"/>
      <c r="B8" s="20"/>
      <c r="C8" s="208"/>
      <c r="D8" s="208"/>
      <c r="E8" s="208"/>
      <c r="F8" s="208"/>
      <c r="G8" s="208"/>
      <c r="H8" s="208"/>
      <c r="I8" s="208"/>
      <c r="J8" s="208"/>
      <c r="K8" s="208"/>
      <c r="L8" s="208"/>
      <c r="M8" s="20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"/>
    </row>
    <row r="9" spans="1:24" x14ac:dyDescent="0.2">
      <c r="A9" s="20"/>
      <c r="B9" s="20"/>
      <c r="C9" s="208"/>
      <c r="D9" s="208"/>
      <c r="E9" s="208"/>
      <c r="F9" s="208"/>
      <c r="G9" s="208"/>
      <c r="H9" s="208"/>
      <c r="I9" s="208"/>
      <c r="J9" s="208"/>
      <c r="K9" s="208"/>
      <c r="L9" s="208"/>
      <c r="M9" s="20"/>
      <c r="N9" s="208"/>
      <c r="O9" s="208"/>
      <c r="P9" s="208"/>
      <c r="Q9" s="208"/>
      <c r="R9" s="208"/>
      <c r="S9" s="208"/>
      <c r="T9" s="208"/>
      <c r="U9" s="208"/>
      <c r="V9" s="208"/>
      <c r="W9" s="208"/>
      <c r="X9" s="20"/>
    </row>
    <row r="10" spans="1:24" x14ac:dyDescent="0.2">
      <c r="A10" s="20"/>
      <c r="B10" s="20"/>
      <c r="C10" s="208"/>
      <c r="D10" s="208"/>
      <c r="E10" s="208"/>
      <c r="F10" s="208"/>
      <c r="G10" s="208"/>
      <c r="H10" s="208"/>
      <c r="I10" s="208"/>
      <c r="J10" s="208"/>
      <c r="K10" s="208"/>
      <c r="L10" s="208"/>
      <c r="M10" s="20"/>
      <c r="N10" s="208"/>
      <c r="O10" s="208"/>
      <c r="P10" s="208"/>
      <c r="Q10" s="208"/>
      <c r="R10" s="208"/>
      <c r="S10" s="208"/>
      <c r="T10" s="208"/>
      <c r="U10" s="208"/>
      <c r="V10" s="208"/>
      <c r="W10" s="208"/>
      <c r="X10" s="20"/>
    </row>
    <row r="11" spans="1:24" x14ac:dyDescent="0.2">
      <c r="A11" s="20"/>
      <c r="B11" s="20"/>
      <c r="C11" s="208"/>
      <c r="D11" s="208"/>
      <c r="E11" s="208"/>
      <c r="F11" s="208"/>
      <c r="G11" s="208"/>
      <c r="H11" s="208"/>
      <c r="I11" s="208"/>
      <c r="J11" s="208"/>
      <c r="K11" s="208"/>
      <c r="L11" s="208"/>
      <c r="M11" s="20"/>
      <c r="N11" s="208"/>
      <c r="O11" s="208"/>
      <c r="P11" s="208"/>
      <c r="Q11" s="208"/>
      <c r="R11" s="208"/>
      <c r="S11" s="208"/>
      <c r="T11" s="208"/>
      <c r="U11" s="208"/>
      <c r="V11" s="208"/>
      <c r="W11" s="208"/>
      <c r="X11" s="20"/>
    </row>
    <row r="12" spans="1:24" x14ac:dyDescent="0.2">
      <c r="A12" s="20"/>
      <c r="B12" s="20"/>
      <c r="C12" s="208"/>
      <c r="D12" s="208"/>
      <c r="E12" s="208"/>
      <c r="F12" s="208"/>
      <c r="G12" s="208"/>
      <c r="H12" s="208"/>
      <c r="I12" s="208"/>
      <c r="J12" s="208"/>
      <c r="K12" s="208"/>
      <c r="L12" s="208"/>
      <c r="M12" s="20"/>
      <c r="N12" s="208"/>
      <c r="O12" s="208"/>
      <c r="P12" s="208"/>
      <c r="Q12" s="208"/>
      <c r="R12" s="208"/>
      <c r="S12" s="208"/>
      <c r="T12" s="208"/>
      <c r="U12" s="208"/>
      <c r="V12" s="208"/>
      <c r="W12" s="208"/>
      <c r="X12" s="20"/>
    </row>
    <row r="13" spans="1:24" x14ac:dyDescent="0.2">
      <c r="A13" s="20"/>
      <c r="B13" s="20"/>
      <c r="C13" s="208"/>
      <c r="D13" s="208"/>
      <c r="E13" s="208"/>
      <c r="F13" s="208"/>
      <c r="G13" s="208"/>
      <c r="H13" s="208"/>
      <c r="I13" s="208"/>
      <c r="J13" s="208"/>
      <c r="K13" s="208"/>
      <c r="L13" s="208"/>
      <c r="M13" s="20"/>
      <c r="N13" s="208"/>
      <c r="O13" s="208"/>
      <c r="P13" s="208"/>
      <c r="Q13" s="208"/>
      <c r="R13" s="208"/>
      <c r="S13" s="208"/>
      <c r="T13" s="208"/>
      <c r="U13" s="208"/>
      <c r="V13" s="208"/>
      <c r="W13" s="208"/>
      <c r="X13" s="20"/>
    </row>
    <row r="14" spans="1:24" x14ac:dyDescent="0.2">
      <c r="A14" s="20"/>
      <c r="B14" s="20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"/>
      <c r="N14" s="208"/>
      <c r="O14" s="208"/>
      <c r="P14" s="208"/>
      <c r="Q14" s="208"/>
      <c r="R14" s="208"/>
      <c r="S14" s="208"/>
      <c r="T14" s="208"/>
      <c r="U14" s="208"/>
      <c r="V14" s="208"/>
      <c r="W14" s="208"/>
      <c r="X14" s="20"/>
    </row>
    <row r="15" spans="1:24" x14ac:dyDescent="0.2">
      <c r="A15" s="20"/>
      <c r="B15" s="20"/>
      <c r="C15" s="208"/>
      <c r="D15" s="208"/>
      <c r="E15" s="208"/>
      <c r="F15" s="208"/>
      <c r="G15" s="208"/>
      <c r="H15" s="208"/>
      <c r="I15" s="208"/>
      <c r="J15" s="208"/>
      <c r="K15" s="208"/>
      <c r="L15" s="208"/>
      <c r="M15" s="20"/>
      <c r="N15" s="208"/>
      <c r="O15" s="208"/>
      <c r="P15" s="208"/>
      <c r="Q15" s="208"/>
      <c r="R15" s="208"/>
      <c r="S15" s="208"/>
      <c r="T15" s="208"/>
      <c r="U15" s="208"/>
      <c r="V15" s="208"/>
      <c r="W15" s="208"/>
      <c r="X15" s="20"/>
    </row>
    <row r="16" spans="1:24" x14ac:dyDescent="0.2">
      <c r="A16" s="20"/>
      <c r="B16" s="20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"/>
      <c r="N16" s="208"/>
      <c r="O16" s="208"/>
      <c r="P16" s="208"/>
      <c r="Q16" s="208"/>
      <c r="R16" s="208"/>
      <c r="S16" s="208"/>
      <c r="T16" s="208"/>
      <c r="U16" s="208"/>
      <c r="V16" s="208"/>
      <c r="W16" s="208"/>
      <c r="X16" s="20"/>
    </row>
    <row r="17" spans="1:24" x14ac:dyDescent="0.2">
      <c r="A17" s="20"/>
      <c r="B17" s="20"/>
      <c r="C17" s="208"/>
      <c r="D17" s="208"/>
      <c r="E17" s="208"/>
      <c r="F17" s="208"/>
      <c r="G17" s="208"/>
      <c r="H17" s="208"/>
      <c r="I17" s="208"/>
      <c r="J17" s="208"/>
      <c r="K17" s="208"/>
      <c r="L17" s="208"/>
      <c r="M17" s="20"/>
      <c r="N17" s="208"/>
      <c r="O17" s="208"/>
      <c r="P17" s="208"/>
      <c r="Q17" s="208"/>
      <c r="R17" s="208"/>
      <c r="S17" s="208"/>
      <c r="T17" s="208"/>
      <c r="U17" s="208"/>
      <c r="V17" s="208"/>
      <c r="W17" s="208"/>
      <c r="X17" s="20"/>
    </row>
    <row r="18" spans="1:24" x14ac:dyDescent="0.2">
      <c r="A18" s="20"/>
      <c r="B18" s="20"/>
      <c r="C18" s="208"/>
      <c r="D18" s="208"/>
      <c r="E18" s="208"/>
      <c r="F18" s="208"/>
      <c r="G18" s="208"/>
      <c r="H18" s="208"/>
      <c r="I18" s="208"/>
      <c r="J18" s="208"/>
      <c r="K18" s="208"/>
      <c r="L18" s="208"/>
      <c r="M18" s="20"/>
      <c r="N18" s="208"/>
      <c r="O18" s="208"/>
      <c r="P18" s="208"/>
      <c r="Q18" s="208"/>
      <c r="R18" s="208"/>
      <c r="S18" s="208"/>
      <c r="T18" s="208"/>
      <c r="U18" s="208"/>
      <c r="V18" s="208"/>
      <c r="W18" s="208"/>
      <c r="X18" s="20"/>
    </row>
    <row r="19" spans="1:24" x14ac:dyDescent="0.2">
      <c r="A19" s="20"/>
      <c r="B19" s="20"/>
      <c r="C19" s="208"/>
      <c r="D19" s="208"/>
      <c r="E19" s="208"/>
      <c r="F19" s="208"/>
      <c r="G19" s="208"/>
      <c r="H19" s="208"/>
      <c r="I19" s="208"/>
      <c r="J19" s="208"/>
      <c r="K19" s="208"/>
      <c r="L19" s="208"/>
      <c r="M19" s="20"/>
      <c r="N19" s="208"/>
      <c r="O19" s="208"/>
      <c r="P19" s="208"/>
      <c r="Q19" s="208"/>
      <c r="R19" s="208"/>
      <c r="S19" s="208"/>
      <c r="T19" s="208"/>
      <c r="U19" s="208"/>
      <c r="V19" s="208"/>
      <c r="W19" s="208"/>
      <c r="X19" s="20"/>
    </row>
    <row r="20" spans="1:24" x14ac:dyDescent="0.2">
      <c r="A20" s="20"/>
      <c r="B20" s="20"/>
      <c r="C20" s="208"/>
      <c r="D20" s="208"/>
      <c r="E20" s="208"/>
      <c r="F20" s="208"/>
      <c r="G20" s="208"/>
      <c r="H20" s="208"/>
      <c r="I20" s="208"/>
      <c r="J20" s="208"/>
      <c r="K20" s="208"/>
      <c r="L20" s="208"/>
      <c r="M20" s="20"/>
      <c r="N20" s="208"/>
      <c r="O20" s="208"/>
      <c r="P20" s="208"/>
      <c r="Q20" s="208"/>
      <c r="R20" s="208"/>
      <c r="S20" s="208"/>
      <c r="T20" s="208"/>
      <c r="U20" s="208"/>
      <c r="V20" s="208"/>
      <c r="W20" s="208"/>
      <c r="X20" s="20"/>
    </row>
    <row r="21" spans="1:24" x14ac:dyDescent="0.2">
      <c r="A21" s="20"/>
      <c r="B21" s="20"/>
      <c r="C21" s="208"/>
      <c r="D21" s="208"/>
      <c r="E21" s="208"/>
      <c r="F21" s="208"/>
      <c r="G21" s="208"/>
      <c r="H21" s="208"/>
      <c r="I21" s="208"/>
      <c r="J21" s="208"/>
      <c r="K21" s="208"/>
      <c r="L21" s="208"/>
      <c r="M21" s="20"/>
      <c r="N21" s="208"/>
      <c r="O21" s="208"/>
      <c r="P21" s="208"/>
      <c r="Q21" s="208"/>
      <c r="R21" s="208"/>
      <c r="S21" s="208"/>
      <c r="T21" s="208"/>
      <c r="U21" s="208"/>
      <c r="V21" s="208"/>
      <c r="W21" s="208"/>
      <c r="X21" s="20"/>
    </row>
    <row r="22" spans="1:24" x14ac:dyDescent="0.2">
      <c r="A22" s="20"/>
      <c r="B22" s="20"/>
      <c r="C22" s="208"/>
      <c r="D22" s="208"/>
      <c r="E22" s="208"/>
      <c r="F22" s="208"/>
      <c r="G22" s="208"/>
      <c r="H22" s="208"/>
      <c r="I22" s="208"/>
      <c r="J22" s="208"/>
      <c r="K22" s="208"/>
      <c r="L22" s="208"/>
      <c r="M22" s="20"/>
      <c r="N22" s="208"/>
      <c r="O22" s="208"/>
      <c r="P22" s="208"/>
      <c r="Q22" s="208"/>
      <c r="R22" s="208"/>
      <c r="S22" s="208"/>
      <c r="T22" s="208"/>
      <c r="U22" s="208"/>
      <c r="V22" s="208"/>
      <c r="W22" s="208"/>
      <c r="X22" s="20"/>
    </row>
    <row r="23" spans="1:24" x14ac:dyDescent="0.2">
      <c r="A23" s="20"/>
      <c r="B23" s="20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"/>
      <c r="N23" s="208"/>
      <c r="O23" s="208"/>
      <c r="P23" s="208"/>
      <c r="Q23" s="208"/>
      <c r="R23" s="208"/>
      <c r="S23" s="208"/>
      <c r="T23" s="208"/>
      <c r="U23" s="208"/>
      <c r="V23" s="208"/>
      <c r="W23" s="208"/>
      <c r="X23" s="20"/>
    </row>
    <row r="24" spans="1:24" ht="13.15" x14ac:dyDescent="0.25">
      <c r="A24" s="20"/>
      <c r="B24" s="20"/>
      <c r="C24" s="208"/>
      <c r="D24" s="208"/>
      <c r="E24" s="208"/>
      <c r="F24" s="208"/>
      <c r="G24" s="208"/>
      <c r="H24" s="208"/>
      <c r="I24" s="208"/>
      <c r="J24" s="208"/>
      <c r="K24" s="208"/>
      <c r="L24" s="208"/>
      <c r="M24" s="20"/>
      <c r="N24" s="208"/>
      <c r="O24" s="208"/>
      <c r="P24" s="208"/>
      <c r="Q24" s="208"/>
      <c r="R24" s="208"/>
      <c r="S24" s="208"/>
      <c r="T24" s="208"/>
      <c r="U24" s="208"/>
      <c r="V24" s="208"/>
      <c r="W24" s="208"/>
      <c r="X24" s="20"/>
    </row>
    <row r="25" spans="1:24" ht="13.15" x14ac:dyDescent="0.25">
      <c r="A25" s="20"/>
      <c r="B25" s="20"/>
      <c r="C25" s="208"/>
      <c r="D25" s="208"/>
      <c r="E25" s="208"/>
      <c r="F25" s="208"/>
      <c r="G25" s="208"/>
      <c r="H25" s="208"/>
      <c r="I25" s="208"/>
      <c r="J25" s="208"/>
      <c r="K25" s="208"/>
      <c r="L25" s="208"/>
      <c r="M25" s="20"/>
      <c r="N25" s="208"/>
      <c r="O25" s="208"/>
      <c r="P25" s="208"/>
      <c r="Q25" s="208"/>
      <c r="R25" s="208"/>
      <c r="S25" s="208"/>
      <c r="T25" s="208"/>
      <c r="U25" s="208"/>
      <c r="V25" s="208"/>
      <c r="W25" s="208"/>
      <c r="X25" s="20"/>
    </row>
    <row r="26" spans="1:24" ht="13.15" x14ac:dyDescent="0.25">
      <c r="A26" s="20"/>
      <c r="B26" s="20"/>
      <c r="C26" s="208"/>
      <c r="D26" s="208"/>
      <c r="E26" s="208"/>
      <c r="F26" s="208"/>
      <c r="G26" s="208"/>
      <c r="H26" s="208"/>
      <c r="I26" s="208"/>
      <c r="J26" s="208"/>
      <c r="K26" s="208"/>
      <c r="L26" s="208"/>
      <c r="M26" s="20"/>
      <c r="N26" s="208"/>
      <c r="O26" s="208"/>
      <c r="P26" s="208"/>
      <c r="Q26" s="208"/>
      <c r="R26" s="208"/>
      <c r="S26" s="208"/>
      <c r="T26" s="208"/>
      <c r="U26" s="208"/>
      <c r="V26" s="208"/>
      <c r="W26" s="208"/>
      <c r="X26" s="20"/>
    </row>
    <row r="27" spans="1:24" ht="13.15" x14ac:dyDescent="0.25">
      <c r="A27" s="20"/>
      <c r="B27" s="20"/>
      <c r="C27" s="208"/>
      <c r="D27" s="208"/>
      <c r="E27" s="208"/>
      <c r="F27" s="208"/>
      <c r="G27" s="208"/>
      <c r="H27" s="208"/>
      <c r="I27" s="208"/>
      <c r="J27" s="208"/>
      <c r="K27" s="208"/>
      <c r="L27" s="208"/>
      <c r="M27" s="20"/>
      <c r="N27" s="208"/>
      <c r="O27" s="208"/>
      <c r="P27" s="208"/>
      <c r="Q27" s="208"/>
      <c r="R27" s="208"/>
      <c r="S27" s="208"/>
      <c r="T27" s="208"/>
      <c r="U27" s="208"/>
      <c r="V27" s="208"/>
      <c r="W27" s="208"/>
      <c r="X27" s="20"/>
    </row>
    <row r="28" spans="1:24" x14ac:dyDescent="0.2">
      <c r="A28" s="20"/>
      <c r="B28" s="20"/>
      <c r="C28" s="208"/>
      <c r="D28" s="208"/>
      <c r="E28" s="208"/>
      <c r="F28" s="208"/>
      <c r="G28" s="208"/>
      <c r="H28" s="208"/>
      <c r="I28" s="208"/>
      <c r="J28" s="208"/>
      <c r="K28" s="208"/>
      <c r="L28" s="208"/>
      <c r="M28" s="20"/>
      <c r="N28" s="208"/>
      <c r="O28" s="208"/>
      <c r="P28" s="208"/>
      <c r="Q28" s="208"/>
      <c r="R28" s="208"/>
      <c r="S28" s="208"/>
      <c r="T28" s="208"/>
      <c r="U28" s="208"/>
      <c r="V28" s="208"/>
      <c r="W28" s="208"/>
      <c r="X28" s="20"/>
    </row>
    <row r="29" spans="1:24" x14ac:dyDescent="0.2">
      <c r="A29" s="20"/>
      <c r="B29" s="20"/>
      <c r="C29" s="208"/>
      <c r="D29" s="208"/>
      <c r="E29" s="208"/>
      <c r="F29" s="208"/>
      <c r="G29" s="208"/>
      <c r="H29" s="208"/>
      <c r="I29" s="208"/>
      <c r="J29" s="208"/>
      <c r="K29" s="208"/>
      <c r="L29" s="208"/>
      <c r="M29" s="20"/>
      <c r="N29" s="208"/>
      <c r="O29" s="208"/>
      <c r="P29" s="208"/>
      <c r="Q29" s="208"/>
      <c r="R29" s="208"/>
      <c r="S29" s="208"/>
      <c r="T29" s="208"/>
      <c r="U29" s="208"/>
      <c r="V29" s="208"/>
      <c r="W29" s="208"/>
      <c r="X29" s="20"/>
    </row>
    <row r="30" spans="1:24" x14ac:dyDescent="0.2">
      <c r="A30" s="20"/>
      <c r="B30" s="20"/>
      <c r="C30" s="208"/>
      <c r="D30" s="208"/>
      <c r="E30" s="208"/>
      <c r="F30" s="208"/>
      <c r="G30" s="208"/>
      <c r="H30" s="208"/>
      <c r="I30" s="208"/>
      <c r="J30" s="208"/>
      <c r="K30" s="208"/>
      <c r="L30" s="208"/>
      <c r="M30" s="20"/>
      <c r="N30" s="208"/>
      <c r="O30" s="208"/>
      <c r="P30" s="208"/>
      <c r="Q30" s="208"/>
      <c r="R30" s="208"/>
      <c r="S30" s="208"/>
      <c r="T30" s="208"/>
      <c r="U30" s="208"/>
      <c r="V30" s="208"/>
      <c r="W30" s="208"/>
      <c r="X30" s="20"/>
    </row>
    <row r="31" spans="1:24" x14ac:dyDescent="0.2">
      <c r="A31" s="20"/>
      <c r="B31" s="20"/>
      <c r="C31" s="208"/>
      <c r="D31" s="208"/>
      <c r="E31" s="208"/>
      <c r="F31" s="208"/>
      <c r="G31" s="208"/>
      <c r="H31" s="208"/>
      <c r="I31" s="208"/>
      <c r="J31" s="208"/>
      <c r="K31" s="208"/>
      <c r="L31" s="208"/>
      <c r="M31" s="20"/>
      <c r="N31" s="208"/>
      <c r="O31" s="208"/>
      <c r="P31" s="208"/>
      <c r="Q31" s="208"/>
      <c r="R31" s="208"/>
      <c r="S31" s="208"/>
      <c r="T31" s="208"/>
      <c r="U31" s="208"/>
      <c r="V31" s="208"/>
      <c r="W31" s="208"/>
      <c r="X31" s="20"/>
    </row>
    <row r="32" spans="1:24" x14ac:dyDescent="0.2">
      <c r="A32" s="20"/>
      <c r="B32" s="20"/>
      <c r="C32" s="208"/>
      <c r="D32" s="208"/>
      <c r="E32" s="208"/>
      <c r="F32" s="208"/>
      <c r="G32" s="208"/>
      <c r="H32" s="208"/>
      <c r="I32" s="208"/>
      <c r="J32" s="208"/>
      <c r="K32" s="208"/>
      <c r="L32" s="208"/>
      <c r="M32" s="20"/>
      <c r="N32" s="208"/>
      <c r="O32" s="208"/>
      <c r="P32" s="208"/>
      <c r="Q32" s="208"/>
      <c r="R32" s="208"/>
      <c r="S32" s="208"/>
      <c r="T32" s="208"/>
      <c r="U32" s="208"/>
      <c r="V32" s="208"/>
      <c r="W32" s="208"/>
      <c r="X32" s="20"/>
    </row>
    <row r="33" spans="1:24" x14ac:dyDescent="0.2">
      <c r="A33" s="20"/>
      <c r="B33" s="20"/>
      <c r="C33" s="208"/>
      <c r="D33" s="208"/>
      <c r="E33" s="208"/>
      <c r="F33" s="208"/>
      <c r="G33" s="208"/>
      <c r="H33" s="208"/>
      <c r="I33" s="208"/>
      <c r="J33" s="208"/>
      <c r="K33" s="208"/>
      <c r="L33" s="208"/>
      <c r="M33" s="20"/>
      <c r="N33" s="208"/>
      <c r="O33" s="208"/>
      <c r="P33" s="208"/>
      <c r="Q33" s="208"/>
      <c r="R33" s="208"/>
      <c r="S33" s="208"/>
      <c r="T33" s="208"/>
      <c r="U33" s="208"/>
      <c r="V33" s="208"/>
      <c r="W33" s="208"/>
      <c r="X33" s="20"/>
    </row>
    <row r="34" spans="1:24" x14ac:dyDescent="0.2">
      <c r="A34" s="20"/>
      <c r="B34" s="20"/>
      <c r="C34" s="208"/>
      <c r="D34" s="208"/>
      <c r="E34" s="208"/>
      <c r="F34" s="208"/>
      <c r="G34" s="208"/>
      <c r="H34" s="208"/>
      <c r="I34" s="208"/>
      <c r="J34" s="208"/>
      <c r="K34" s="208"/>
      <c r="L34" s="208"/>
      <c r="M34" s="20"/>
      <c r="N34" s="208"/>
      <c r="O34" s="208"/>
      <c r="P34" s="208"/>
      <c r="Q34" s="208"/>
      <c r="R34" s="208"/>
      <c r="S34" s="208"/>
      <c r="T34" s="208"/>
      <c r="U34" s="208"/>
      <c r="V34" s="208"/>
      <c r="W34" s="208"/>
      <c r="X34" s="20"/>
    </row>
    <row r="35" spans="1:24" x14ac:dyDescent="0.2">
      <c r="A35" s="20"/>
      <c r="B35" s="20"/>
      <c r="C35" s="208"/>
      <c r="D35" s="208"/>
      <c r="E35" s="208"/>
      <c r="F35" s="208"/>
      <c r="G35" s="208"/>
      <c r="H35" s="208"/>
      <c r="I35" s="208"/>
      <c r="J35" s="208"/>
      <c r="K35" s="208"/>
      <c r="L35" s="208"/>
      <c r="M35" s="20"/>
      <c r="N35" s="208"/>
      <c r="O35" s="208"/>
      <c r="P35" s="208"/>
      <c r="Q35" s="208"/>
      <c r="R35" s="208"/>
      <c r="S35" s="208"/>
      <c r="T35" s="208"/>
      <c r="U35" s="208"/>
      <c r="V35" s="208"/>
      <c r="W35" s="208"/>
      <c r="X35" s="20"/>
    </row>
    <row r="36" spans="1:24" x14ac:dyDescent="0.2">
      <c r="A36" s="20"/>
      <c r="B36" s="20"/>
      <c r="C36" s="208"/>
      <c r="D36" s="208"/>
      <c r="E36" s="208"/>
      <c r="F36" s="208"/>
      <c r="G36" s="208"/>
      <c r="H36" s="208"/>
      <c r="I36" s="208"/>
      <c r="J36" s="208"/>
      <c r="K36" s="208"/>
      <c r="L36" s="208"/>
      <c r="M36" s="20"/>
      <c r="N36" s="208"/>
      <c r="O36" s="208"/>
      <c r="P36" s="208"/>
      <c r="Q36" s="208"/>
      <c r="R36" s="208"/>
      <c r="S36" s="208"/>
      <c r="T36" s="208"/>
      <c r="U36" s="208"/>
      <c r="V36" s="208"/>
      <c r="W36" s="208"/>
      <c r="X36" s="20"/>
    </row>
    <row r="37" spans="1:24" x14ac:dyDescent="0.2">
      <c r="A37" s="20"/>
      <c r="B37" s="20"/>
      <c r="C37" s="208"/>
      <c r="D37" s="208"/>
      <c r="E37" s="208"/>
      <c r="F37" s="208"/>
      <c r="G37" s="208"/>
      <c r="H37" s="208"/>
      <c r="I37" s="208"/>
      <c r="J37" s="208"/>
      <c r="K37" s="208"/>
      <c r="L37" s="208"/>
      <c r="M37" s="20"/>
      <c r="N37" s="208"/>
      <c r="O37" s="208"/>
      <c r="P37" s="208"/>
      <c r="Q37" s="208"/>
      <c r="R37" s="208"/>
      <c r="S37" s="208"/>
      <c r="T37" s="208"/>
      <c r="U37" s="208"/>
      <c r="V37" s="208"/>
      <c r="W37" s="208"/>
      <c r="X37" s="20"/>
    </row>
    <row r="38" spans="1:24" x14ac:dyDescent="0.2">
      <c r="A38" s="20"/>
      <c r="B38" s="20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"/>
      <c r="N38" s="208"/>
      <c r="O38" s="208"/>
      <c r="P38" s="208"/>
      <c r="Q38" s="208"/>
      <c r="R38" s="208"/>
      <c r="S38" s="208"/>
      <c r="T38" s="208"/>
      <c r="U38" s="208"/>
      <c r="V38" s="208"/>
      <c r="W38" s="208"/>
      <c r="X38" s="20"/>
    </row>
    <row r="39" spans="1:24" x14ac:dyDescent="0.2">
      <c r="A39" s="20"/>
      <c r="B39" s="20"/>
      <c r="C39" s="208"/>
      <c r="D39" s="208"/>
      <c r="E39" s="208"/>
      <c r="F39" s="208"/>
      <c r="G39" s="208"/>
      <c r="H39" s="208"/>
      <c r="I39" s="208"/>
      <c r="J39" s="208"/>
      <c r="K39" s="208"/>
      <c r="L39" s="208"/>
      <c r="M39" s="20"/>
      <c r="N39" s="208"/>
      <c r="O39" s="208"/>
      <c r="P39" s="208"/>
      <c r="Q39" s="208"/>
      <c r="R39" s="208"/>
      <c r="S39" s="208"/>
      <c r="T39" s="208"/>
      <c r="U39" s="208"/>
      <c r="V39" s="208"/>
      <c r="W39" s="208"/>
      <c r="X39" s="20"/>
    </row>
    <row r="40" spans="1:24" x14ac:dyDescent="0.2">
      <c r="A40" s="20"/>
      <c r="B40" s="20"/>
      <c r="C40" s="208"/>
      <c r="D40" s="208"/>
      <c r="E40" s="208"/>
      <c r="F40" s="208"/>
      <c r="G40" s="208"/>
      <c r="H40" s="208"/>
      <c r="I40" s="208"/>
      <c r="J40" s="208"/>
      <c r="K40" s="208"/>
      <c r="L40" s="208"/>
      <c r="M40" s="20"/>
      <c r="N40" s="208"/>
      <c r="O40" s="208"/>
      <c r="P40" s="208"/>
      <c r="Q40" s="208"/>
      <c r="R40" s="208"/>
      <c r="S40" s="208"/>
      <c r="T40" s="208"/>
      <c r="U40" s="208"/>
      <c r="V40" s="208"/>
      <c r="W40" s="208"/>
      <c r="X40" s="20"/>
    </row>
    <row r="41" spans="1:24" x14ac:dyDescent="0.2">
      <c r="A41" s="20"/>
      <c r="B41" s="20"/>
      <c r="C41" s="208"/>
      <c r="D41" s="208"/>
      <c r="E41" s="208"/>
      <c r="F41" s="208"/>
      <c r="G41" s="208"/>
      <c r="H41" s="208"/>
      <c r="I41" s="208"/>
      <c r="J41" s="208"/>
      <c r="K41" s="208"/>
      <c r="L41" s="208"/>
      <c r="M41" s="20"/>
      <c r="N41" s="208"/>
      <c r="O41" s="208"/>
      <c r="P41" s="208"/>
      <c r="Q41" s="208"/>
      <c r="R41" s="208"/>
      <c r="S41" s="208"/>
      <c r="T41" s="208"/>
      <c r="U41" s="208"/>
      <c r="V41" s="208"/>
      <c r="W41" s="208"/>
      <c r="X41" s="20"/>
    </row>
    <row r="42" spans="1:24" x14ac:dyDescent="0.2">
      <c r="A42" s="20"/>
      <c r="B42" s="20"/>
      <c r="C42" s="208"/>
      <c r="D42" s="208"/>
      <c r="E42" s="208"/>
      <c r="F42" s="208"/>
      <c r="G42" s="208"/>
      <c r="H42" s="208"/>
      <c r="I42" s="208"/>
      <c r="J42" s="208"/>
      <c r="K42" s="208"/>
      <c r="L42" s="208"/>
      <c r="M42" s="20"/>
      <c r="N42" s="208"/>
      <c r="O42" s="208"/>
      <c r="P42" s="208"/>
      <c r="Q42" s="208"/>
      <c r="R42" s="208"/>
      <c r="S42" s="208"/>
      <c r="T42" s="208"/>
      <c r="U42" s="208"/>
      <c r="V42" s="208"/>
      <c r="W42" s="208"/>
      <c r="X42" s="20"/>
    </row>
    <row r="43" spans="1:24" x14ac:dyDescent="0.2">
      <c r="A43" s="20"/>
      <c r="B43" s="20"/>
      <c r="C43" s="208"/>
      <c r="D43" s="208"/>
      <c r="E43" s="208"/>
      <c r="F43" s="208"/>
      <c r="G43" s="208"/>
      <c r="H43" s="208"/>
      <c r="I43" s="208"/>
      <c r="J43" s="208"/>
      <c r="K43" s="208"/>
      <c r="L43" s="208"/>
      <c r="M43" s="20"/>
      <c r="N43" s="208"/>
      <c r="O43" s="208"/>
      <c r="P43" s="208"/>
      <c r="Q43" s="208"/>
      <c r="R43" s="208"/>
      <c r="S43" s="208"/>
      <c r="T43" s="208"/>
      <c r="U43" s="208"/>
      <c r="V43" s="208"/>
      <c r="W43" s="208"/>
      <c r="X43" s="20"/>
    </row>
    <row r="44" spans="1:24" x14ac:dyDescent="0.2">
      <c r="A44" s="20"/>
      <c r="B44" s="20"/>
      <c r="C44" s="208"/>
      <c r="D44" s="208"/>
      <c r="E44" s="208"/>
      <c r="F44" s="208"/>
      <c r="G44" s="208"/>
      <c r="H44" s="208"/>
      <c r="I44" s="208"/>
      <c r="J44" s="208"/>
      <c r="K44" s="208"/>
      <c r="L44" s="208"/>
      <c r="M44" s="20"/>
      <c r="N44" s="208"/>
      <c r="O44" s="208"/>
      <c r="P44" s="208"/>
      <c r="Q44" s="208"/>
      <c r="R44" s="208"/>
      <c r="S44" s="208"/>
      <c r="T44" s="208"/>
      <c r="U44" s="208"/>
      <c r="V44" s="208"/>
      <c r="W44" s="208"/>
      <c r="X44" s="20"/>
    </row>
    <row r="45" spans="1:24" x14ac:dyDescent="0.2">
      <c r="A45" s="20"/>
      <c r="B45" s="20"/>
      <c r="C45" s="208"/>
      <c r="D45" s="208"/>
      <c r="E45" s="208"/>
      <c r="F45" s="208"/>
      <c r="G45" s="208"/>
      <c r="H45" s="208"/>
      <c r="I45" s="208"/>
      <c r="J45" s="208"/>
      <c r="K45" s="208"/>
      <c r="L45" s="208"/>
      <c r="M45" s="20"/>
      <c r="N45" s="208"/>
      <c r="O45" s="208"/>
      <c r="P45" s="208"/>
      <c r="Q45" s="208"/>
      <c r="R45" s="208"/>
      <c r="S45" s="208"/>
      <c r="T45" s="208"/>
      <c r="U45" s="208"/>
      <c r="V45" s="208"/>
      <c r="W45" s="208"/>
      <c r="X45" s="20"/>
    </row>
    <row r="46" spans="1:24" x14ac:dyDescent="0.2">
      <c r="A46" s="20"/>
      <c r="B46" s="20"/>
      <c r="C46" s="208"/>
      <c r="D46" s="208"/>
      <c r="E46" s="208"/>
      <c r="F46" s="208"/>
      <c r="G46" s="208"/>
      <c r="H46" s="208"/>
      <c r="I46" s="208"/>
      <c r="J46" s="208"/>
      <c r="K46" s="208"/>
      <c r="L46" s="208"/>
      <c r="M46" s="20"/>
      <c r="N46" s="208"/>
      <c r="O46" s="208"/>
      <c r="P46" s="208"/>
      <c r="Q46" s="208"/>
      <c r="R46" s="208"/>
      <c r="S46" s="208"/>
      <c r="T46" s="208"/>
      <c r="U46" s="208"/>
      <c r="V46" s="208"/>
      <c r="W46" s="208"/>
      <c r="X46" s="20"/>
    </row>
    <row r="47" spans="1:24" x14ac:dyDescent="0.2">
      <c r="A47" s="20"/>
      <c r="B47" s="20"/>
      <c r="C47" s="208"/>
      <c r="D47" s="208"/>
      <c r="E47" s="208"/>
      <c r="F47" s="208"/>
      <c r="G47" s="208"/>
      <c r="H47" s="208"/>
      <c r="I47" s="208"/>
      <c r="J47" s="208"/>
      <c r="K47" s="208"/>
      <c r="L47" s="208"/>
      <c r="M47" s="20"/>
      <c r="N47" s="208"/>
      <c r="O47" s="208"/>
      <c r="P47" s="208"/>
      <c r="Q47" s="208"/>
      <c r="R47" s="208"/>
      <c r="S47" s="208"/>
      <c r="T47" s="208"/>
      <c r="U47" s="208"/>
      <c r="V47" s="208"/>
      <c r="W47" s="208"/>
      <c r="X47" s="20"/>
    </row>
    <row r="48" spans="1:24" x14ac:dyDescent="0.2">
      <c r="A48" s="20"/>
      <c r="B48" s="20"/>
      <c r="C48" s="208"/>
      <c r="D48" s="208"/>
      <c r="E48" s="208"/>
      <c r="F48" s="208"/>
      <c r="G48" s="208"/>
      <c r="H48" s="208"/>
      <c r="I48" s="208"/>
      <c r="J48" s="208"/>
      <c r="K48" s="208"/>
      <c r="L48" s="208"/>
      <c r="M48" s="20"/>
      <c r="N48" s="208"/>
      <c r="O48" s="208"/>
      <c r="P48" s="208"/>
      <c r="Q48" s="208"/>
      <c r="R48" s="208"/>
      <c r="S48" s="208"/>
      <c r="T48" s="208"/>
      <c r="U48" s="208"/>
      <c r="V48" s="208"/>
      <c r="W48" s="208"/>
      <c r="X48" s="20"/>
    </row>
    <row r="49" spans="1:24" x14ac:dyDescent="0.2">
      <c r="A49" s="20"/>
      <c r="B49" s="20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"/>
      <c r="N49" s="208"/>
      <c r="O49" s="208"/>
      <c r="P49" s="208"/>
      <c r="Q49" s="208"/>
      <c r="R49" s="208"/>
      <c r="S49" s="208"/>
      <c r="T49" s="208"/>
      <c r="U49" s="208"/>
      <c r="V49" s="208"/>
      <c r="W49" s="208"/>
      <c r="X49" s="20"/>
    </row>
    <row r="50" spans="1:24" x14ac:dyDescent="0.2">
      <c r="A50" s="20"/>
      <c r="B50" s="20"/>
      <c r="C50" s="208"/>
      <c r="D50" s="208"/>
      <c r="E50" s="208"/>
      <c r="F50" s="208"/>
      <c r="G50" s="208"/>
      <c r="H50" s="208"/>
      <c r="I50" s="208"/>
      <c r="J50" s="208"/>
      <c r="K50" s="208"/>
      <c r="L50" s="208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</row>
    <row r="51" spans="1:24" x14ac:dyDescent="0.2">
      <c r="A51" s="20"/>
      <c r="B51" s="20"/>
      <c r="C51" s="208"/>
      <c r="D51" s="208"/>
      <c r="E51" s="208"/>
      <c r="F51" s="208"/>
      <c r="G51" s="208"/>
      <c r="H51" s="208"/>
      <c r="I51" s="208"/>
      <c r="J51" s="208"/>
      <c r="K51" s="208"/>
      <c r="L51" s="208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</row>
    <row r="52" spans="1:24" x14ac:dyDescent="0.2">
      <c r="A52" s="20"/>
      <c r="B52" s="20"/>
      <c r="C52" s="208"/>
      <c r="D52" s="208"/>
      <c r="E52" s="208"/>
      <c r="F52" s="208"/>
      <c r="G52" s="208"/>
      <c r="H52" s="208"/>
      <c r="I52" s="208"/>
      <c r="J52" s="208"/>
      <c r="K52" s="208"/>
      <c r="L52" s="208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</row>
    <row r="53" spans="1:24" x14ac:dyDescent="0.2">
      <c r="A53" s="20"/>
      <c r="B53" s="20"/>
      <c r="C53" s="208"/>
      <c r="D53" s="208"/>
      <c r="E53" s="208"/>
      <c r="F53" s="208"/>
      <c r="G53" s="208"/>
      <c r="H53" s="208"/>
      <c r="I53" s="208"/>
      <c r="J53" s="208"/>
      <c r="K53" s="208"/>
      <c r="L53" s="208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</row>
    <row r="54" spans="1:24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</row>
    <row r="55" spans="1:24" x14ac:dyDescent="0.2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</row>
    <row r="56" spans="1:24" x14ac:dyDescent="0.2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</row>
    <row r="57" spans="1:24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</row>
  </sheetData>
  <sheetProtection sheet="1" objects="1" scenarios="1" selectLockedCells="1"/>
  <mergeCells count="2">
    <mergeCell ref="C1:L3"/>
    <mergeCell ref="A1:B3"/>
  </mergeCells>
  <hyperlinks>
    <hyperlink ref="A1:B3" location="Содержание!D32" display=")"/>
  </hyperlinks>
  <pageMargins left="0.7" right="0.7" top="0.75" bottom="0.75" header="0.3" footer="0.3"/>
  <pageSetup paperSize="8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6720513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6720513" r:id="rId4"/>
      </mc:Fallback>
    </mc:AlternateContent>
    <mc:AlternateContent xmlns:mc="http://schemas.openxmlformats.org/markup-compatibility/2006">
      <mc:Choice Requires="x14">
        <oleObject progId="Visio.Drawing.11" shapeId="6720514" r:id="rId6">
          <objectPr defaultSiz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Visio.Drawing.11" shapeId="6720514" r:id="rId6"/>
      </mc:Fallback>
    </mc:AlternateContent>
    <mc:AlternateContent xmlns:mc="http://schemas.openxmlformats.org/markup-compatibility/2006">
      <mc:Choice Requires="x14">
        <oleObject progId="Equation.3" shapeId="6720515" r:id="rId8">
          <objectPr defaultSize="0" autoPict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6720515" r:id="rId8"/>
      </mc:Fallback>
    </mc:AlternateContent>
    <mc:AlternateContent xmlns:mc="http://schemas.openxmlformats.org/markup-compatibility/2006">
      <mc:Choice Requires="x14">
        <oleObject progId="Equation.3" shapeId="6720516" r:id="rId10">
          <objectPr defaultSize="0" autoPict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6720516" r:id="rId10"/>
      </mc:Fallback>
    </mc:AlternateContent>
    <mc:AlternateContent xmlns:mc="http://schemas.openxmlformats.org/markup-compatibility/2006">
      <mc:Choice Requires="x14">
        <oleObject progId="Equation.3" shapeId="6720517" r:id="rId12">
          <objectPr defaultSize="0" autoPict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6720517" r:id="rId12"/>
      </mc:Fallback>
    </mc:AlternateContent>
    <mc:AlternateContent xmlns:mc="http://schemas.openxmlformats.org/markup-compatibility/2006">
      <mc:Choice Requires="x14">
        <oleObject progId="Equation.3" shapeId="6720518" r:id="rId14">
          <objectPr defaultSize="0" autoPict="0" r:id="rId1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6720518" r:id="rId14"/>
      </mc:Fallback>
    </mc:AlternateContent>
    <mc:AlternateContent xmlns:mc="http://schemas.openxmlformats.org/markup-compatibility/2006">
      <mc:Choice Requires="x14">
        <oleObject progId="Equation.3" shapeId="6720519" r:id="rId16">
          <objectPr defaultSize="0" autoPict="0" r:id="rId1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6720519" r:id="rId16"/>
      </mc:Fallback>
    </mc:AlternateContent>
    <mc:AlternateContent xmlns:mc="http://schemas.openxmlformats.org/markup-compatibility/2006">
      <mc:Choice Requires="x14">
        <oleObject progId="Equation.3" shapeId="6720520" r:id="rId18">
          <objectPr defaultSize="0" autoPict="0" r:id="rId1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6720520" r:id="rId18"/>
      </mc:Fallback>
    </mc:AlternateContent>
    <mc:AlternateContent xmlns:mc="http://schemas.openxmlformats.org/markup-compatibility/2006">
      <mc:Choice Requires="x14">
        <oleObject progId="Equation.3" shapeId="6720521" r:id="rId20">
          <objectPr defaultSize="0" autoPict="0" r:id="rId2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6720521" r:id="rId20"/>
      </mc:Fallback>
    </mc:AlternateContent>
    <mc:AlternateContent xmlns:mc="http://schemas.openxmlformats.org/markup-compatibility/2006">
      <mc:Choice Requires="x14">
        <oleObject progId="Equation.3" shapeId="6720522" r:id="rId22">
          <objectPr defaultSize="0" autoPict="0" r:id="rId2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6720522" r:id="rId22"/>
      </mc:Fallback>
    </mc:AlternateContent>
    <mc:AlternateContent xmlns:mc="http://schemas.openxmlformats.org/markup-compatibility/2006">
      <mc:Choice Requires="x14">
        <oleObject progId="Equation.3" shapeId="6720523" r:id="rId24">
          <objectPr defaultSize="0" autoPict="0" r:id="rId2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6720523" r:id="rId24"/>
      </mc:Fallback>
    </mc:AlternateContent>
  </oleObjects>
</worksheet>
</file>

<file path=customUI/customUI14.xml><?xml version="1.0" encoding="utf-8"?>
<customUI xmlns="http://schemas.microsoft.com/office/2009/07/customui">
  <ribbon startFromScratch="false">
    <tabs>
      <tab idMso="TabHome" visible="false"/>
      <tab idMso="TabInsert" visible="false"/>
      <tab idMso="TabPageLayoutExcel" visible="false"/>
      <tab idMso="TabFormulas" visible="false"/>
      <tab idMso="TabData" visible="false"/>
      <tab idMso="TabReview" visible="false"/>
      <tab idMso="TabView" visible="false"/>
      <tab idMso="TabDeveloper" visible="false"/>
    </tabs>
  </ribbon>
</customUI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Содержание</vt:lpstr>
      <vt:lpstr>РС междуфазное</vt:lpstr>
      <vt:lpstr>РС при КЗ на землю</vt:lpstr>
      <vt:lpstr>Ненаправленное РС</vt:lpstr>
      <vt:lpstr>БК dZ_dt</vt:lpstr>
      <vt:lpstr>ИПФ, ИПФК</vt:lpstr>
      <vt:lpstr>ООВП</vt:lpstr>
      <vt:lpstr>Теория РС при КЗ на землю</vt:lpstr>
      <vt:lpstr>Теория ИПФ, ИПФК</vt:lpstr>
      <vt:lpstr>Пасхалка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Проверка ИО дистанционных защит</dc:title>
  <dc:creator>Кузнецов Александр Александрович</dc:creator>
  <dc:description>изм2_2 от 28.04.2014</dc:description>
  <cp:lastModifiedBy>Инженер</cp:lastModifiedBy>
  <cp:lastPrinted>2023-04-17T17:15:59Z</cp:lastPrinted>
  <dcterms:created xsi:type="dcterms:W3CDTF">2011-10-28T15:36:28Z</dcterms:created>
  <dcterms:modified xsi:type="dcterms:W3CDTF">2023-04-20T15:51:29Z</dcterms:modified>
</cp:coreProperties>
</file>